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5910" tabRatio="856" firstSheet="19" activeTab="20"/>
  </bookViews>
  <sheets>
    <sheet name="свод  (уточ) (3)" sheetId="1" r:id="rId1"/>
    <sheet name="свод  (уточ) (2)" sheetId="2" r:id="rId2"/>
    <sheet name="свод " sheetId="3" r:id="rId3"/>
    <sheet name="приложение 1.1" sheetId="4" r:id="rId4"/>
    <sheet name="приложение 1.2." sheetId="5" r:id="rId5"/>
    <sheet name="приложение 1.3" sheetId="6" r:id="rId6"/>
    <sheet name="приложение 2.2" sheetId="7" r:id="rId7"/>
    <sheet name="приложение 3.1" sheetId="8" r:id="rId8"/>
    <sheet name="приложение 3.2-КЛ-0,4" sheetId="9" r:id="rId9"/>
    <sheet name="прил.3.2.рекон.ТПиРП" sheetId="10" r:id="rId10"/>
    <sheet name="прил.3.2.ВЛ-0,4 кВ" sheetId="11" r:id="rId11"/>
    <sheet name="прил.3.2.Новое строит" sheetId="12" r:id="rId12"/>
    <sheet name="прил.3.2 ПИР" sheetId="13" r:id="rId13"/>
    <sheet name="прил.3.2.Оборуд." sheetId="14" r:id="rId14"/>
    <sheet name="4.2 с НДС" sheetId="15" r:id="rId15"/>
    <sheet name="приложение 4.2 без НДС" sheetId="16" r:id="rId16"/>
    <sheet name="приложение 5" sheetId="17" r:id="rId17"/>
    <sheet name="приложение 6.1" sheetId="18" r:id="rId18"/>
    <sheet name="приложение 6.2" sheetId="19" r:id="rId19"/>
    <sheet name="приложение 6.3" sheetId="20" r:id="rId20"/>
    <sheet name="приложение 7.1" sheetId="21" r:id="rId21"/>
    <sheet name="приложение 7.2" sheetId="22" r:id="rId22"/>
    <sheet name="приложение 8" sheetId="23" r:id="rId23"/>
    <sheet name="приложение 9" sheetId="24" r:id="rId24"/>
    <sheet name="приложение 11.1" sheetId="25" r:id="rId25"/>
    <sheet name="прил.11.2 Приобр." sheetId="26" r:id="rId26"/>
    <sheet name="прил.11.2 ПИР" sheetId="27" r:id="rId27"/>
    <sheet name="прил.11.2. Строит" sheetId="28" r:id="rId28"/>
    <sheet name="прил.11.2. АИИСКУЭ" sheetId="29" r:id="rId29"/>
    <sheet name="прил.11.2. КЛ-10 кВ" sheetId="30" r:id="rId30"/>
    <sheet name="прил.11.2 ВЛ-6 на КЛ-6" sheetId="31" r:id="rId31"/>
    <sheet name="прил.11.2 ВЛ-0,4 на ВЛИ" sheetId="32" r:id="rId32"/>
    <sheet name="прил.11.2 ТПиРП" sheetId="33" r:id="rId33"/>
    <sheet name="приложение 11.2 КЛ-0,4" sheetId="34" r:id="rId34"/>
    <sheet name="приложение 12" sheetId="35" r:id="rId35"/>
    <sheet name="приложение 13" sheetId="36" r:id="rId36"/>
    <sheet name="приложение 14" sheetId="37" r:id="rId37"/>
  </sheets>
  <definedNames>
    <definedName name="_xlnm.Print_Titles" localSheetId="3">'приложение 1.1'!$17:$19</definedName>
    <definedName name="_xlnm.Print_Titles" localSheetId="4">'приложение 1.2.'!$16:$18</definedName>
    <definedName name="_xlnm.Print_Titles" localSheetId="24">'приложение 11.1'!$16:$21</definedName>
    <definedName name="_xlnm.Print_Titles" localSheetId="35">'приложение 13'!$14:$16</definedName>
    <definedName name="_xlnm.Print_Titles" localSheetId="6">'приложение 2.2'!$14:$16</definedName>
    <definedName name="_xlnm.Print_Titles" localSheetId="17">'приложение 6.1'!$15:$17</definedName>
    <definedName name="_xlnm.Print_Titles" localSheetId="19">'приложение 6.3'!$15:$18</definedName>
    <definedName name="_xlnm.Print_Titles" localSheetId="20">'приложение 7.1'!$16:$18</definedName>
    <definedName name="_xlnm.Print_Titles" localSheetId="21">'приложение 7.2'!$15:$17</definedName>
    <definedName name="_xlnm.Print_Titles" localSheetId="23">'приложение 9'!$12:$16</definedName>
    <definedName name="_xlnm.Print_Titles" localSheetId="2">'свод '!$3:$3</definedName>
    <definedName name="_xlnm.Print_Titles" localSheetId="1">'свод  (уточ) (2)'!$4:$4</definedName>
    <definedName name="_xlnm.Print_Titles" localSheetId="0">'свод  (уточ) (3)'!$4:$4</definedName>
    <definedName name="_xlnm.Print_Area" localSheetId="5">'приложение 1.3'!$A$1:$N$55</definedName>
    <definedName name="_xlnm.Print_Area" localSheetId="36">'приложение 14'!$A$1:$L$174</definedName>
    <definedName name="_xlnm.Print_Area" localSheetId="15">'приложение 4.2 без НДС'!$A$1:$F$54</definedName>
    <definedName name="_xlnm.Print_Area" localSheetId="17">'приложение 6.1'!$A$1:$M$89</definedName>
    <definedName name="_xlnm.Print_Area" localSheetId="18">'приложение 6.2'!$A$1:$E$57</definedName>
    <definedName name="_xlnm.Print_Area" localSheetId="19">'приложение 6.3'!$A$1:$F$66</definedName>
  </definedNames>
  <calcPr fullCalcOnLoad="1"/>
</workbook>
</file>

<file path=xl/sharedStrings.xml><?xml version="1.0" encoding="utf-8"?>
<sst xmlns="http://schemas.openxmlformats.org/spreadsheetml/2006/main" count="5396" uniqueCount="1047">
  <si>
    <t>ТП-462,ул Университетская, 4Б, г.Чебоксары</t>
  </si>
  <si>
    <t>ТП-525, ул.Крупской, 24А, г.Чебоксары</t>
  </si>
  <si>
    <t>ТП-526, ул.Промышленная, 8в,г.Чебоксары</t>
  </si>
  <si>
    <t>ТП-170, пр.Московский, 29 А, г.Чебоксары</t>
  </si>
  <si>
    <t>АСКУЭ жилых домов,  г.Чебоксары</t>
  </si>
  <si>
    <t>АСКУЭ жилых домов,  г.Новочебоксарск</t>
  </si>
  <si>
    <t>АСКУЭ жилых домов и ТП, г.Цивильск</t>
  </si>
  <si>
    <t>АСКУЭ жилых домов и ТП, г.Мариинский Посад</t>
  </si>
  <si>
    <t>КТПН-БМ-400-10/0,4 кВ по ул.Фрунзе г.Мариинский Посад.</t>
  </si>
  <si>
    <t>Строительство КЛ-10кВ от ПС"Светлая" и БРП-10 кВ до ТП-А8, г.Чебоксары</t>
  </si>
  <si>
    <t>Строительство РП-10 кВ , КЛ-10 кВ от проектируемой РП-10 кВ от ПС"Светлая" в НЮР 13 мкр.</t>
  </si>
  <si>
    <t>Приобретение производственной базы в г.Цивильск</t>
  </si>
  <si>
    <t>Приобретение производственной базы в г.Мариинский Посад</t>
  </si>
  <si>
    <t>Реконструкция производственной базы г.Мариинский Посад</t>
  </si>
  <si>
    <t>ПИР по реконструкции ГПП-110/6 кВ ХБК-1, г.Чебоксары</t>
  </si>
  <si>
    <t>Приобретение оборудованиия, не входящие в сметы строек г.Чебоксары</t>
  </si>
  <si>
    <t>Приобретение оборудованиия, не входящие в сметы строек г.Новочебоксарск</t>
  </si>
  <si>
    <t xml:space="preserve">Отчет за 2010 год об источниках финансирования инвестиционной программы ООО "Коммунальные технологии", млн. рублей 
(представляется ежегодно) </t>
  </si>
  <si>
    <t xml:space="preserve">Отчет о вводах/выводах объектов реконструкции и капитального строительства по инвестиционной программе ООО "Коммунальные технологии" в 2010 году
(представляется ежегодно) </t>
  </si>
  <si>
    <t>______  А.С.Вашурин</t>
  </si>
  <si>
    <t>Объем финансирования
 [отчетный год] 2010 г.</t>
  </si>
  <si>
    <t>0,67 км</t>
  </si>
  <si>
    <t>1,541 км</t>
  </si>
  <si>
    <t>1,77 км</t>
  </si>
  <si>
    <t>1,425 км</t>
  </si>
  <si>
    <t>0,747 км</t>
  </si>
  <si>
    <t>3,3 км</t>
  </si>
  <si>
    <t>2,3 км</t>
  </si>
  <si>
    <t>2,278 км</t>
  </si>
  <si>
    <t>0,695 км</t>
  </si>
  <si>
    <t>0,25МВА</t>
  </si>
  <si>
    <t>0,4МВА</t>
  </si>
  <si>
    <t>2,1 км</t>
  </si>
  <si>
    <t>5,2 км</t>
  </si>
  <si>
    <t>1,592 км</t>
  </si>
  <si>
    <t>Согласованно:</t>
  </si>
  <si>
    <t>Заместитель генерального директора -главный инженер</t>
  </si>
  <si>
    <t>Р.Р.Бухарин</t>
  </si>
  <si>
    <t>Директор по электрическим сетям</t>
  </si>
  <si>
    <t>А.М.Колебанов</t>
  </si>
  <si>
    <t>Начальник отдела ОТП и КС ИА</t>
  </si>
  <si>
    <t>Э.И.Кошкин</t>
  </si>
  <si>
    <t xml:space="preserve">Инвестиционная программа 2011 год </t>
  </si>
  <si>
    <t>тыс.руб.</t>
  </si>
  <si>
    <t>развития общественной инфаструктуры ЧР</t>
  </si>
  <si>
    <t>________________А.Н.Гончаров</t>
  </si>
  <si>
    <t>"____"__________________2011 г.</t>
  </si>
  <si>
    <t>__________А.С.Вашурин</t>
  </si>
  <si>
    <t>3,0 МВА</t>
  </si>
  <si>
    <t xml:space="preserve">График реализации  инвестиционной  программы по электросетевому хозяйству ООО "Коммунальные техологии" в 2010 году, млн. рублей с НДС
(представляется ежегодно до 15 декабря года, предшествующего плановому) </t>
  </si>
  <si>
    <t>«___»________ 2011 года</t>
  </si>
  <si>
    <t>Объем финансирования
 [отчетный год] - 2010 г.</t>
  </si>
  <si>
    <t>ВЛ-0,4 кВ с установкой КТПН по ул.Пристанционная г.Чебоксары</t>
  </si>
  <si>
    <t xml:space="preserve">Реконструкция ВЛЭП 0,4 кВ от ТП-10 </t>
  </si>
  <si>
    <t>ВЛ-0,4 кВ от ТП-10 г. Цивильск</t>
  </si>
  <si>
    <t>0,78 км</t>
  </si>
  <si>
    <t>Электроснабжение группы жилых домов в ЮЗР (р-н по ул.Энтузиастов)</t>
  </si>
  <si>
    <t>АС</t>
  </si>
  <si>
    <t>"____"  ________________  2011 г.</t>
  </si>
  <si>
    <t>ВЛ-0,4 кВ с установкой КТПН по ул. Пристанционая г.Чебоксары</t>
  </si>
  <si>
    <t>Реконструкция ВЛ-0,4 кВ от ТП-10 г.Цивильск</t>
  </si>
  <si>
    <t>0,698 км/0,4 МВт</t>
  </si>
  <si>
    <t>дер.</t>
  </si>
  <si>
    <t>0,4 МВТ</t>
  </si>
  <si>
    <t>0,698 км</t>
  </si>
  <si>
    <t xml:space="preserve">Источники финансирования инвестиционной программы ООО "Коммунальные технологии"  на 2011 год, млн. рублей </t>
  </si>
  <si>
    <t>План ввода/вывода объектовреконструкции и капитального строительства по инвестиционной программе ООО "Коммунальные технологии" в 2011 году</t>
  </si>
  <si>
    <t>0,4МВА/ 4,6км</t>
  </si>
  <si>
    <t>0,16МВА/ 2,95км</t>
  </si>
  <si>
    <t>"___"________ 2011 года</t>
  </si>
  <si>
    <t>от "___"________2010 г. №____</t>
  </si>
  <si>
    <t>от "___"________2011 г. №____</t>
  </si>
  <si>
    <t>"___"_______________ 2011 года</t>
  </si>
  <si>
    <t>4 кв. 2009 г.</t>
  </si>
  <si>
    <t>млн.рублей</t>
  </si>
  <si>
    <t>Проектная мощность/
протяженность сетей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</si>
  <si>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</si>
  <si>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</si>
  <si>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</si>
  <si>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</si>
  <si>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</si>
  <si>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</si>
  <si>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</si>
  <si>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Энтузиастов</t>
  </si>
  <si>
    <t xml:space="preserve">итого с зимн </t>
  </si>
  <si>
    <t>итого</t>
  </si>
  <si>
    <t>итого с непред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</si>
  <si>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</si>
  <si>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</si>
  <si>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</si>
  <si>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</si>
  <si>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</si>
  <si>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</si>
  <si>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</si>
  <si>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</si>
  <si>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</si>
  <si>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</si>
  <si>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</si>
  <si>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</si>
  <si>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</si>
  <si>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</si>
  <si>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</si>
  <si>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</si>
  <si>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</si>
  <si>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</si>
  <si>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</si>
  <si>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</si>
  <si>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</si>
  <si>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</si>
  <si>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</si>
  <si>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</si>
  <si>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</si>
  <si>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</si>
  <si>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</si>
  <si>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</si>
  <si>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</si>
  <si>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</si>
  <si>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</si>
  <si>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</si>
  <si>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</si>
  <si>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</si>
  <si>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</si>
  <si>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</si>
  <si>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</si>
  <si>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</si>
  <si>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С - строительство, П- проектирование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</si>
  <si>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</si>
  <si>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</si>
  <si>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</si>
  <si>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</si>
  <si>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</si>
  <si>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</si>
  <si>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</si>
  <si>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</si>
  <si>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</si>
  <si>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</si>
  <si>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</si>
  <si>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 мощностей</t>
  </si>
  <si>
    <t>Вывод мощностей</t>
  </si>
  <si>
    <t xml:space="preserve">Прогноз ввода/вывода объектов </t>
  </si>
  <si>
    <t>уточнения стоимости по результатам утвержденной ПСД</t>
  </si>
  <si>
    <t>в том числе за счет</t>
  </si>
  <si>
    <t>ПИР на реконструкцию ПС-110/6 кВ "ГПП-1 ХБК"</t>
  </si>
  <si>
    <t>Приобретение здания ТП-10</t>
  </si>
  <si>
    <t>Приобретение оборудования для ТП-10</t>
  </si>
  <si>
    <t>Реконструкция произв.базы в г.Цивильск</t>
  </si>
  <si>
    <t>Модернизация ТП-31, ул.Николаева, г.Марпосад</t>
  </si>
  <si>
    <t>Модернизация ТП-34, г.Марпосад</t>
  </si>
  <si>
    <t>Реконструкция ВЛ-0,4 кВ с установкой КТПК-№3 по ул.Молодежная, Фрунзе, Фурманова, Щорса, Речная, Грибоедова, г.Марпосада</t>
  </si>
  <si>
    <t>Технологическое присоединение</t>
  </si>
  <si>
    <t>Реконструкция производственной базы г.Цивильск</t>
  </si>
  <si>
    <t>Модернизация ТП-31, г.Марпосад</t>
  </si>
  <si>
    <t>ВЛ-0,4 кВ с установкой КТПК-№3 по ул.Моложедная, Фрунзе, Фурманова, г.Марпосад</t>
  </si>
  <si>
    <t>Приобретение здания ТП-10, г.Цивильск</t>
  </si>
  <si>
    <t>Утверждаю:</t>
  </si>
  <si>
    <t>Заместитель председателя кабинета министров-</t>
  </si>
  <si>
    <t>министр градостроительства и</t>
  </si>
  <si>
    <t>развития общественной инфраструктуры ЧР</t>
  </si>
  <si>
    <t>_________________А.Н.Гончаров</t>
  </si>
  <si>
    <t>_________________А.С.Вашурин</t>
  </si>
  <si>
    <t>1,62 км</t>
  </si>
  <si>
    <t>6,76 км</t>
  </si>
  <si>
    <t>0,55 км</t>
  </si>
  <si>
    <t>1,288 км</t>
  </si>
  <si>
    <t>Чувашская Республика</t>
  </si>
  <si>
    <t>4,6 км</t>
  </si>
  <si>
    <t>0,4МВт</t>
  </si>
  <si>
    <t>_________А.С.Вашурин</t>
  </si>
  <si>
    <t>Итого за 2011 год, тыс.руб с НДС</t>
  </si>
  <si>
    <t>ТАРИФ, Амортизация, 2011 год, тыс.руб с НДС</t>
  </si>
  <si>
    <t>Прибыль, с НДС</t>
  </si>
  <si>
    <t>Прибыль (Тех.присоединение)</t>
  </si>
  <si>
    <t>Амортизация, 2011 год, тыс.руб без НДС</t>
  </si>
  <si>
    <t>ВСЕГО  по ООО "Коммунальные технологии" на 2011 год</t>
  </si>
  <si>
    <t>А-35</t>
  </si>
  <si>
    <t>яч.КСО-303-8шт</t>
  </si>
  <si>
    <t>КТПК-160/10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</si>
  <si>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</si>
  <si>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</si>
  <si>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</si>
  <si>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</si>
  <si>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Техническое перевооружение и реконструкция</t>
  </si>
  <si>
    <t>Остаточная стоимость строительства **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</si>
  <si>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</si>
  <si>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</si>
  <si>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</si>
  <si>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</si>
  <si>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</si>
  <si>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</si>
  <si>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</si>
  <si>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план**</t>
  </si>
  <si>
    <t>факт***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</si>
  <si>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</si>
  <si>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</si>
  <si>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</si>
  <si>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</si>
  <si>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Наименование</t>
  </si>
  <si>
    <t>Тип</t>
  </si>
  <si>
    <t>работа</t>
  </si>
  <si>
    <t>событие</t>
  </si>
  <si>
    <t>Организационный этап</t>
  </si>
  <si>
    <t>3.1.</t>
  </si>
  <si>
    <t>3.2.</t>
  </si>
  <si>
    <t>3.3.</t>
  </si>
  <si>
    <t>5.4.</t>
  </si>
  <si>
    <t>Испытания и ввод в эксплуатацию</t>
  </si>
  <si>
    <t>Предпроектный и проектный этап</t>
  </si>
  <si>
    <t>Получение заявки на ТП</t>
  </si>
  <si>
    <t>Разработка и выдача ТУ на ТП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</si>
  <si>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</si>
  <si>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</si>
  <si>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</si>
  <si>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</si>
  <si>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</si>
  <si>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</si>
  <si>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</si>
  <si>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</si>
  <si>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</si>
  <si>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</si>
  <si>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</si>
  <si>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</si>
  <si>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</si>
  <si>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</si>
  <si>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</si>
  <si>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</si>
  <si>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</si>
  <si>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</si>
  <si>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</si>
  <si>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>Источники финансирования инвестиционной программы по электросетевому хозяйству ООО "Коммунальные технологии" в 2011 году 
(в прогнозных ценах соответствующих лет), млн. рублей (без НДС-18%)</t>
  </si>
  <si>
    <t>** - для сетевых компаний, переходящих на метод тарифного регулирования RAB, горизонт планирования может быть больше</t>
  </si>
  <si>
    <t xml:space="preserve">Источники финансирования инвестиционной программы по электросетевому хозяйству ООО "Коммунальные технологии" в 2011 году 
(в прогнозных ценах соответствующих лет), млн. рублей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</si>
  <si>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</si>
  <si>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</si>
  <si>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</si>
  <si>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</si>
  <si>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</si>
  <si>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</si>
  <si>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</si>
  <si>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</si>
  <si>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</si>
  <si>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</si>
  <si>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</si>
  <si>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</si>
  <si>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</si>
  <si>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</si>
  <si>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</si>
  <si>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</si>
  <si>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</si>
  <si>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</si>
  <si>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</si>
  <si>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</si>
  <si>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</si>
  <si>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</si>
  <si>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</si>
  <si>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</si>
  <si>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</si>
  <si>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</si>
  <si>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</si>
  <si>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</si>
  <si>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</si>
  <si>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</si>
  <si>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</si>
  <si>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</si>
  <si>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 xml:space="preserve">Наименование контрольных этапов реализации инвестпроекта с указанием событий/работ критического пути сетевого графика 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</si>
  <si>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</si>
  <si>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</si>
  <si>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</si>
  <si>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</si>
  <si>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</si>
  <si>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</si>
  <si>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</si>
  <si>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</si>
  <si>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</si>
  <si>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</si>
  <si>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</si>
  <si>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</si>
  <si>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</si>
  <si>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</si>
  <si>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</si>
  <si>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</si>
  <si>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</si>
  <si>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</si>
  <si>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</si>
  <si>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</si>
  <si>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</si>
  <si>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</si>
  <si>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</si>
  <si>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</si>
  <si>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</si>
  <si>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</si>
  <si>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</si>
  <si>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</si>
  <si>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</si>
  <si>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</si>
  <si>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М.П.</t>
  </si>
  <si>
    <t>**** - в прогнозных ценах соответствующего года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</si>
  <si>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</si>
  <si>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</si>
  <si>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</si>
  <si>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</si>
  <si>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</si>
  <si>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 «___»________2010 г. №____</t>
  </si>
  <si>
    <t>Приложение  № 8</t>
  </si>
  <si>
    <t>NPV, 
млн.
рублей</t>
  </si>
  <si>
    <t>для ОГК/ТГК, в том числе</t>
  </si>
  <si>
    <t>ДПМ</t>
  </si>
  <si>
    <t>вне ДПМ</t>
  </si>
  <si>
    <t>Приложение  № 12</t>
  </si>
  <si>
    <t>решаемые 
задачи *</t>
  </si>
  <si>
    <t>Итого за 2011 год, тыс.руб без НДС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</si>
  <si>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</si>
  <si>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</si>
  <si>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</si>
  <si>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</si>
  <si>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</si>
  <si>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</si>
  <si>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</si>
  <si>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</si>
  <si>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</si>
  <si>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</si>
  <si>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</si>
  <si>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</si>
  <si>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</si>
  <si>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</si>
  <si>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</si>
  <si>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</si>
  <si>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</si>
  <si>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</si>
  <si>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</si>
  <si>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Техническая 
готовность 
объекта
на 01.01.2011, %
**</t>
  </si>
  <si>
    <t>в соответствии 
с проектно-
сметной 
документацией ***</t>
  </si>
  <si>
    <t>в соответствии 
с проектно-
сметной 
документацией
***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</si>
  <si>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</si>
  <si>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</si>
  <si>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</si>
  <si>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</si>
  <si>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</si>
  <si>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</si>
  <si>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</si>
  <si>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</si>
  <si>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</si>
  <si>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</si>
  <si>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</si>
  <si>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</si>
  <si>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</si>
  <si>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</si>
  <si>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</si>
  <si>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</si>
  <si>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</si>
  <si>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</si>
  <si>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</si>
  <si>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</si>
  <si>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</si>
  <si>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</si>
  <si>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</si>
  <si>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</si>
  <si>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</si>
  <si>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</si>
  <si>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</si>
  <si>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</si>
  <si>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</si>
  <si>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</si>
  <si>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</si>
  <si>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</si>
  <si>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</si>
  <si>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</si>
  <si>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</si>
  <si>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</si>
  <si>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</si>
  <si>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</si>
  <si>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>ВСЕГО, 2011 год</t>
  </si>
  <si>
    <t>Перечень инвестиционных проектов инвестиционной программы по электросетевому хозяйству ООО "Коммунальные технологии" и план их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</si>
  <si>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</si>
  <si>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</si>
  <si>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</si>
  <si>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</si>
  <si>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</si>
  <si>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</si>
  <si>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</si>
  <si>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 Заполняется согласно приложению 7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</si>
  <si>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</si>
  <si>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</si>
  <si>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мероприятий</t>
  </si>
  <si>
    <t>Прибыль</t>
  </si>
  <si>
    <t>Всего по Обществу</t>
  </si>
  <si>
    <t>ОСП "ЧЭС", в т.ч.</t>
  </si>
  <si>
    <t>РП-7, ул.П.Лумумбы 17, г.Чебоксары</t>
  </si>
  <si>
    <t xml:space="preserve">Реконструкция ВЛЭП 0,4 кВ с установкой КТПН </t>
  </si>
  <si>
    <t>ПИР будущих лет</t>
  </si>
  <si>
    <t>Оборудование, не входящее в сметы строек</t>
  </si>
  <si>
    <t>ОСП "НЧЭС"г.Марпосад</t>
  </si>
  <si>
    <t xml:space="preserve"> г.Цивильск</t>
  </si>
  <si>
    <t>Показатели 
экономической эффективноскти реализации инвестиционного 
проекта ****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</si>
  <si>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</si>
  <si>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</si>
  <si>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Оформление, получение разрешительной документации на производство работ</t>
  </si>
  <si>
    <t>Поставка оборудования, материалов.</t>
  </si>
  <si>
    <t>Производство строительно-монтажных работ</t>
  </si>
  <si>
    <t>Оформление исполнительной документации</t>
  </si>
  <si>
    <t>февраль, 2011</t>
  </si>
  <si>
    <t>март, 2011</t>
  </si>
  <si>
    <t>апрель, 2011</t>
  </si>
  <si>
    <t>август, 2011</t>
  </si>
  <si>
    <t>по мере выполнения  СМР</t>
  </si>
  <si>
    <t>сентябрь, 2011</t>
  </si>
  <si>
    <t>ноябрь, 2011</t>
  </si>
  <si>
    <t>Заключение договоров подряда</t>
  </si>
  <si>
    <t>октябрь, 2011</t>
  </si>
  <si>
    <t>по мере окончания монтажа оборудования</t>
  </si>
  <si>
    <t>Строительство  и пусконаладочные работы</t>
  </si>
  <si>
    <t>июнь, 2011</t>
  </si>
  <si>
    <t>май, 2011</t>
  </si>
  <si>
    <t>декабрь, 2011</t>
  </si>
  <si>
    <t>Приобретение оборудования, не входящие в сметы строек</t>
  </si>
  <si>
    <t>Разработка и выдача ТЗ</t>
  </si>
  <si>
    <t>Согласование рабочей документации</t>
  </si>
  <si>
    <t xml:space="preserve">подготовка ПИР для строительства будущих лет </t>
  </si>
  <si>
    <t>АСБ-1</t>
  </si>
  <si>
    <t>АПВБ-1</t>
  </si>
  <si>
    <t>ААШВ-1</t>
  </si>
  <si>
    <t>АВВГ-1</t>
  </si>
  <si>
    <t>дер</t>
  </si>
  <si>
    <t>РП-33 ул. Социалистическая, 5Б г.Чебоксары</t>
  </si>
  <si>
    <t>КЛ-0,4 кВ от РП-33 ул. Социалистическая, 5Б г.Чебоксары</t>
  </si>
  <si>
    <t>по ООО "Коммунальные технологии" на 2011 год</t>
  </si>
  <si>
    <t xml:space="preserve">Стоимость основных этапов работ по реализации инвестиционной программы по электросетевому хозяйству ООО "Коммунальные технологии" на 2011 год </t>
  </si>
  <si>
    <t>инвестиционной программы по электросетевому хозяйству ООО "Коммунальные технологии" на 2011 год</t>
  </si>
  <si>
    <t xml:space="preserve">Краткое описание инвестиционной программы по электросетевому хозяйству ООО "Коммунальные технологии" на 2011 год </t>
  </si>
  <si>
    <t xml:space="preserve">Укрупненный сетевой график выполнения инвестиционной  программы по электросетевому хозяйству ООО "Коммунальные техологии" в 2011 году </t>
  </si>
  <si>
    <t xml:space="preserve">Реконструкция физически изношенных воздушных ЛЭП-0,4 кВ </t>
  </si>
  <si>
    <t xml:space="preserve">Отчет об исполнении финансового плана по ООО "Коммунальные технологии"
(заполняется по финансированию) </t>
  </si>
  <si>
    <t>6.1.</t>
  </si>
  <si>
    <t>6.2.</t>
  </si>
  <si>
    <t>6.3.</t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</si>
  <si>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Реконструкция ВЛ-6 кВ с заменой на КЛ-6 кВ</t>
    </r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</si>
  <si>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Реконструкция изношенных воздушных ЛЭП-0,4 кВ с заменой ВЛ-0,4 кВ на ВЛИ-0,4 кВ</t>
    </r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</si>
  <si>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Реконструкция кабельных линий 10 кВ</t>
    </r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</si>
  <si>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АИИСКУЭ</t>
    </r>
  </si>
  <si>
    <t xml:space="preserve">Перечень инвестиционных проектов на период реализации инвестиционной программы и план их финансирования </t>
  </si>
  <si>
    <t>0,525 км</t>
  </si>
  <si>
    <t>1,12 км</t>
  </si>
  <si>
    <t>2,95 км</t>
  </si>
  <si>
    <t>Присоединение новых потребителей</t>
  </si>
  <si>
    <t xml:space="preserve">от продажи т/э </t>
  </si>
  <si>
    <t>от передачи э/э</t>
  </si>
  <si>
    <t>Покупная электроэнергия, теплоэнергия</t>
  </si>
  <si>
    <t>Прочие цели (пополнение оборотных средств)</t>
  </si>
  <si>
    <t xml:space="preserve">другое (фонда накопления на инвестиции в ОС) </t>
  </si>
  <si>
    <t xml:space="preserve"> по строительству,реконстуркции</t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</si>
  <si>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Реконструкция кабельных линий 0,4 кВ</t>
    </r>
  </si>
  <si>
    <t>Заключение договора  подряда (если работы выполняются подрядным способом)</t>
  </si>
  <si>
    <t>Получение правоустанавливающих документов для выполнения  земельных  работ</t>
  </si>
  <si>
    <t>Реконструкция и пусконаладочные работы</t>
  </si>
  <si>
    <t>Подготовка площадки строительства для  трассы – для ЛЭП</t>
  </si>
  <si>
    <t>Поставка основного оборудования, материалов</t>
  </si>
  <si>
    <t>Строительно-монтажные работы</t>
  </si>
  <si>
    <t>Завершение реконструкции</t>
  </si>
  <si>
    <t xml:space="preserve"> Ввод в эксплуатацию объекта реконструкции</t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</si>
  <si>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Реконструкция существующих ТП и РП</t>
    </r>
  </si>
  <si>
    <t>Получение допуска к выполнению работ</t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</si>
  <si>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Реконструкция физически изношенных воздушных ЛЭП-0,4 кВ</t>
    </r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</si>
  <si>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Новое строительство</t>
    </r>
  </si>
  <si>
    <t>Заключение договора на разработку проектной документации</t>
  </si>
  <si>
    <t>Сетевое строительство и пусконаладочные работы</t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</si>
  <si>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Приобретение оборудования не входящие в сметы строек</t>
    </r>
  </si>
  <si>
    <t>Получение заявки на приобретение</t>
  </si>
  <si>
    <t>Заключение договора  поставки оборудования</t>
  </si>
  <si>
    <r>
      <t xml:space="preserve">Наименование инвестиционного проекта </t>
    </r>
    <r>
      <rPr>
        <b/>
        <u val="single"/>
        <sz val="12"/>
        <rFont val="Times New Roman"/>
        <family val="1"/>
      </rPr>
      <t>ПИР для строительства будущих периодов</t>
    </r>
  </si>
  <si>
    <t>Заключение договора на разработку проектно-сметной документации</t>
  </si>
  <si>
    <t>Разработка  проектно-сметной документации</t>
  </si>
  <si>
    <t>Выдача ПСД</t>
  </si>
  <si>
    <t>0,63 МВА</t>
  </si>
  <si>
    <t>Реконструкция изношенных КЛ-0,4 кВ, КЛ-10 кВ</t>
  </si>
  <si>
    <t>Наименование объекта*</t>
  </si>
  <si>
    <t>Технические характеристики реконструируемых объектов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</si>
  <si>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</si>
  <si>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</si>
  <si>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</si>
  <si>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</si>
  <si>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</si>
  <si>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</si>
  <si>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</si>
  <si>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</si>
  <si>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</si>
  <si>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</si>
  <si>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</si>
  <si>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</si>
  <si>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</si>
  <si>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</si>
  <si>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</si>
  <si>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</si>
  <si>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</si>
  <si>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</si>
  <si>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1.3</t>
  </si>
  <si>
    <t>Приложение  № 1.2</t>
  </si>
  <si>
    <t>Приложение  № 1.1</t>
  </si>
  <si>
    <t>Приложение  № 3.1</t>
  </si>
  <si>
    <t>Приложение  № 3.2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</si>
  <si>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</si>
  <si>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</si>
  <si>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</si>
  <si>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</si>
  <si>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</si>
  <si>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</si>
  <si>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</si>
  <si>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</si>
  <si>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</si>
  <si>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</si>
  <si>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</si>
  <si>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</si>
  <si>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</si>
  <si>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</si>
  <si>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</si>
  <si>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всего,
год N</t>
  </si>
  <si>
    <t>Приложение  № 11.2</t>
  </si>
  <si>
    <t>Приложение  № 5</t>
  </si>
  <si>
    <t>Приложение  № 4.2</t>
  </si>
  <si>
    <t>Приложение  № 11.1</t>
  </si>
  <si>
    <t>Приложение  №  7.2</t>
  </si>
  <si>
    <t>Приложение  № 7.1</t>
  </si>
  <si>
    <t>Приложение  № 14</t>
  </si>
  <si>
    <t>Приложение  № 2.2</t>
  </si>
  <si>
    <t>ж/б</t>
  </si>
  <si>
    <t>ТМ-160/6</t>
  </si>
  <si>
    <t>TTUAI-315/6</t>
  </si>
  <si>
    <t>ТМ-400/6                                  ТМ-630/6</t>
  </si>
  <si>
    <t>TTUAI-630/10              ТМ-400/10</t>
  </si>
  <si>
    <t>2хТМ-400/10</t>
  </si>
  <si>
    <t>2хТМ-630/6</t>
  </si>
  <si>
    <t>ТМ-400/10</t>
  </si>
  <si>
    <t>4,6км/0,4МВт</t>
  </si>
  <si>
    <t>МВА</t>
  </si>
  <si>
    <t>3,9 МВА</t>
  </si>
  <si>
    <t>0,4 МВА</t>
  </si>
  <si>
    <t>1,26 МВА</t>
  </si>
  <si>
    <t>0,8 МВА</t>
  </si>
  <si>
    <t>3 МВА</t>
  </si>
  <si>
    <t>Уменьшение потерь</t>
  </si>
  <si>
    <t>да</t>
  </si>
  <si>
    <t>Муниципальная программа</t>
  </si>
  <si>
    <t>Надёжность в эксплуатации</t>
  </si>
  <si>
    <t>+</t>
  </si>
  <si>
    <t>Увеличение мощности</t>
  </si>
  <si>
    <t>Контрольные этапы реализации инвестиционного проекта по электросетевому хозяйству в 2011 году для сетевой  компании ООО "Коммунальные технологии"</t>
  </si>
  <si>
    <t>Форма представления показателей финансовой отчетности 
(представляется ежеквартально)</t>
  </si>
  <si>
    <t>**** приложить финансовую модель по проекту</t>
  </si>
  <si>
    <t>План 
финансирования 
текущего года (2010 г.)</t>
  </si>
  <si>
    <t>Процент 
освоения 
сметной стоимости
на 01.01 года N (2011г.), %</t>
  </si>
  <si>
    <t>План * года N+1 (2012 г.)</t>
  </si>
  <si>
    <t>План * года N+2
** (2013 г.)</t>
  </si>
  <si>
    <t>Реконструкция изношенных КЛ-0,4 кВ</t>
  </si>
  <si>
    <t>ТП-226 ул. Гузовского, 10 А г.Чебоксары</t>
  </si>
  <si>
    <t>ТП-266 ул. Гузовского, 40 А г.Чебоксары</t>
  </si>
  <si>
    <t>ТП-280 ул. Хевешская, 7 В г.Чебоксары</t>
  </si>
  <si>
    <t>Реконструкция существующих ТП и РП</t>
  </si>
  <si>
    <t>РП-7 ул. П. Лумумбы, 17 (на территории школы № 23) г.Чебоксары</t>
  </si>
  <si>
    <t>ТП-226  ул. Гузовского, 10 А г.Чебоксары</t>
  </si>
  <si>
    <t>ТП-280, ул. Хевешская, 7 В г.Чебоксары</t>
  </si>
  <si>
    <t>ТП-304,  пр. И. Яковлева, 8 Г г.Чебоксары</t>
  </si>
  <si>
    <t xml:space="preserve">Реконструкция ВЛ-0,4 кВ </t>
  </si>
  <si>
    <t>ВЛ-0,4 кВ с установкой КТПН в п. Альгешево (ТП-270) г.Чебоксары</t>
  </si>
  <si>
    <t>г.Чебоксары</t>
  </si>
  <si>
    <t>г.Цивильск</t>
  </si>
  <si>
    <t>г.Мариинский Посад</t>
  </si>
  <si>
    <t>Оборудование, не входящие в сметы строек</t>
  </si>
  <si>
    <t>ПИР для строительства будущих периодов, в т.ч.</t>
  </si>
  <si>
    <t>С</t>
  </si>
  <si>
    <t>П</t>
  </si>
  <si>
    <t>Генеральный директор</t>
  </si>
  <si>
    <t>ООО "Коммунальные технологии"</t>
  </si>
  <si>
    <t>Полная 
стоимость 
строительства       (с НДС)</t>
  </si>
  <si>
    <t>ВСЕГО по ООО "Коммунальные технологии"</t>
  </si>
  <si>
    <t>км</t>
  </si>
  <si>
    <t>КЛ-0,4 от ТП-226 ул. Гузовского, 10 А г.Чебоксары</t>
  </si>
  <si>
    <t>КЛ-0,4 от ТП-266 ул. Гузовского, 40 А г.Чебоксары</t>
  </si>
  <si>
    <t>КЛ-0,4 от ТП-280 ул. Хевешская, 7 В г.Чебоксары</t>
  </si>
  <si>
    <t>Стоимость объекта,
млн.рублей с НДС</t>
  </si>
  <si>
    <t xml:space="preserve">План * 2011 года </t>
  </si>
  <si>
    <t>План года 2011 г.</t>
  </si>
  <si>
    <t>КЛ-0,4 кВ от ТП-293 ул.М Павлова, 10В, г.Чебоксары</t>
  </si>
  <si>
    <t>КЛ-0,4 кВ от ТП-296 ул.М Павлова, 24А, г.Чебоксары</t>
  </si>
  <si>
    <t>КЛ-0,4 кВ от ТП-524 ул.Крупской 21 Б, г.Чебоксары</t>
  </si>
  <si>
    <t>КЛ-0,4 кВ от ТП-526 ул.Промышленная, 8в, г.Чебоксары</t>
  </si>
  <si>
    <t>КЛ-0,4 кВ отТП-527 ул.Кирова, 11 а, г.Чебоксары</t>
  </si>
  <si>
    <t>КЛ-0,4 кВ отТП-219, ул.Кривова, 13, г.Чебоксары</t>
  </si>
  <si>
    <t>КЛ-0,4 кВ отТП-221, ул.М.Павлова, 9, г.Чебоксары</t>
  </si>
  <si>
    <t xml:space="preserve"> ВЛ-0,4 кВ на ВЛИ-0,4 кВ от ТП-142, 148,ул. Крупской, 28/36 А г.Чебоксары</t>
  </si>
  <si>
    <t>ВЛ-0,4 кВ на ВЛИ-0,4 кВ отТП-45, пр. М. Горького, 24  А г.Чебоксары</t>
  </si>
  <si>
    <t>ВЛ-6 кВ на КЛ-6 кВ отТП-89-297-298-393,  г.Чебоксары</t>
  </si>
  <si>
    <t>КЛ-0,4 кВ до ВРУ-0,4 кВ ж/д №№ 42В и 42Г по б-ру Миттова, г.Чебоксары</t>
  </si>
  <si>
    <t>Реконструкция ВЛЭП 0,4 кВ с установкой КТПН по ул.Привосточная, г.Чебоксары</t>
  </si>
  <si>
    <t>Реконструкция ВЛЭП 0,4 кВ с установкой КТПН по ул.Пристанционная, г.Чебоксары</t>
  </si>
  <si>
    <t>ТП-2, ул.Казанская, 26 г.Мариинский Посад</t>
  </si>
  <si>
    <t>АСУЭ в ТП, г.Чебоксары</t>
  </si>
  <si>
    <t>АСУЭ в ТП, г.Новочебоксарск</t>
  </si>
  <si>
    <t>Установка КТПН 1*250кВА в районе ул.Первое и Второе Денисово для разгрузки ТП-2, г.Мариинский Посад</t>
  </si>
  <si>
    <t>Установка КТПН в п.Гремячево г.Чебоксары.</t>
  </si>
  <si>
    <t>СИП</t>
  </si>
  <si>
    <t>-</t>
  </si>
  <si>
    <t>Реконструкция КЛ-0,4 кВ от ТП-225, ул.Гузовского, 6, г.Чебоксары</t>
  </si>
  <si>
    <t>Остаточная 
стоимость 
объекта
на 01.01. 2011, 
млн.рублей</t>
  </si>
  <si>
    <t>за отчетный 
период</t>
  </si>
  <si>
    <t>АИИСКУЭ розничный рынок, г.Чебоксары</t>
  </si>
  <si>
    <t>Строительство КЛ-10кВ от ПС"Вурманкассы" по пр-ту И.Яковлева, 22 и ПС"Светлая" по ул. Л.Комсомола, 43, г.Чебоксары</t>
  </si>
  <si>
    <t>Строительство РП-10 кВ , пл. Скворцова, на территории ОАО "Авиалинии Чувашии"</t>
  </si>
  <si>
    <t>Приобретение оргтехники</t>
  </si>
  <si>
    <t>г.Марпосад</t>
  </si>
  <si>
    <t>г. Чебоксары</t>
  </si>
  <si>
    <t>г. Цивильск</t>
  </si>
  <si>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</si>
  <si>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</si>
  <si>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</si>
  <si>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</si>
  <si>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</si>
  <si>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</si>
  <si>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</si>
  <si>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</si>
  <si>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</si>
  <si>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</si>
  <si>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</si>
  <si>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</si>
  <si>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</si>
  <si>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</si>
  <si>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</si>
  <si>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</si>
  <si>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</si>
  <si>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</si>
  <si>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</si>
  <si>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</si>
  <si>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</si>
  <si>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</si>
  <si>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</si>
  <si>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</si>
  <si>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</si>
  <si>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</si>
  <si>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</si>
  <si>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</si>
  <si>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</si>
  <si>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</si>
  <si>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</si>
  <si>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</si>
  <si>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</si>
  <si>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</si>
  <si>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</si>
  <si>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</si>
  <si>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</si>
  <si>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</si>
  <si>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</si>
  <si>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</si>
  <si>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</si>
  <si>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</si>
  <si>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</si>
  <si>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</si>
  <si>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</si>
  <si>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</si>
  <si>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</si>
  <si>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</si>
  <si>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</si>
  <si>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</si>
  <si>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</si>
  <si>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</si>
  <si>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</si>
  <si>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</si>
  <si>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</si>
  <si>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</si>
  <si>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</si>
  <si>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КЛ-0,4 кВ от ТП-295 ул.М Павлова, 20А, г.Чебоксары</t>
  </si>
  <si>
    <t>ВЛ-0,4 кВ от ТП-2, ул.Денисово, 2А, г.Мариинский Посад</t>
  </si>
  <si>
    <t>КЛ-10 кВ Л-38 (участок №1-2х1 км), г.Цивильск</t>
  </si>
  <si>
    <t>Реконструкция КЛ-0,4 кВ от ТП-208, ул.Чапаева, 10, г.Чебоксары</t>
  </si>
  <si>
    <t>Реконструкция ВЛ 10-0,4кВ, строительство КТПК-№1,№2 по ул.Кирова, Фурманова, Сеспеля, Седова в г.Мариинский Посад</t>
  </si>
  <si>
    <t>КЛ-0,4 кВ от ТП-99, ул.И.Франко, 20</t>
  </si>
  <si>
    <t>РП-7, (частично, РУ-0,4 кВ) ул.П.Лумумбы 17, г.Чебоксары</t>
  </si>
  <si>
    <t xml:space="preserve">Реконструкция ТП и РП </t>
  </si>
  <si>
    <t>Реконструкция РП и ТП</t>
  </si>
  <si>
    <t>Объем финансирования
 [отчетный год]     2010 г.</t>
  </si>
  <si>
    <t>Плановый объем финансирования, млн. руб, (с НДС в ценах 2011 года)</t>
  </si>
  <si>
    <t>год N-2 (2009 г.)</t>
  </si>
  <si>
    <t>2.1.1.</t>
  </si>
  <si>
    <t>2.1.2.</t>
  </si>
  <si>
    <t>2.2.1.</t>
  </si>
  <si>
    <t>2.2.2.</t>
  </si>
  <si>
    <t>2.2.3.</t>
  </si>
  <si>
    <t>2.3.1.</t>
  </si>
  <si>
    <t>2.4.1.</t>
  </si>
  <si>
    <t>Расширение строительной части РП-33, ул.Социалистическая, 5Б г.Чебоксары</t>
  </si>
  <si>
    <t>Расширение строительной части РП-33 ул.Социалистическая, 5Б г.Чебоксары</t>
  </si>
  <si>
    <t xml:space="preserve">факт </t>
  </si>
  <si>
    <t>год N-2 (2010 г.)</t>
  </si>
  <si>
    <t xml:space="preserve">Всего поступления 
( I р. + 1п. IV р. + 2 п. IX р. + 1 п. X р. +  XI р. + XIII р. + 2п.XIV р. + XV р.)                             </t>
  </si>
  <si>
    <t>Всего расходы 
(II р.- 3п. II р. + 2п. IV р. + 1 п. IX р. + 2 п. X р. + VI р. + VIII р. +  XII р. + 1 п. XIV р.+ XVI р.)</t>
  </si>
  <si>
    <t xml:space="preserve">1 квартал </t>
  </si>
  <si>
    <t>Объем финансирования 2011 год (с НДС)</t>
  </si>
  <si>
    <t xml:space="preserve">2 квартал </t>
  </si>
  <si>
    <t xml:space="preserve">3 квартал </t>
  </si>
  <si>
    <t xml:space="preserve">4 квартал </t>
  </si>
  <si>
    <t>Электроснабжение семейных домов отдыха в пос.Октяборьский (мкр."Рублевка"-Заволжье)</t>
  </si>
  <si>
    <t>2.4.2.</t>
  </si>
  <si>
    <t>Электроснабжение группы индивидуальных жилых домов по пер.Гремячевский</t>
  </si>
  <si>
    <t>2.4.3.</t>
  </si>
  <si>
    <t>Электроснабжение группы индивидуальных жилых домов вдоль ул.Ленинского Комсомола (р-н ул.К.Цеткина)</t>
  </si>
  <si>
    <t>2.4.4.</t>
  </si>
  <si>
    <t>Строительство</t>
  </si>
  <si>
    <t>КЛ-0,4 кВ от ТП-524 ул.Крупской 21Б, г.Чебоксары</t>
  </si>
  <si>
    <t>Приобретение оборудования не входящих в сметы строек г..Чебоксары</t>
  </si>
  <si>
    <t xml:space="preserve">Строительство РП-10 кВ, пл.Скворцова, на иерритории ОАО "Авиалинии Чувашии" </t>
  </si>
  <si>
    <t>1.3.2.</t>
  </si>
  <si>
    <t>1.3.3.</t>
  </si>
  <si>
    <t>1.3.4.</t>
  </si>
  <si>
    <t>1.3.5.</t>
  </si>
  <si>
    <t>1.3.7.</t>
  </si>
  <si>
    <t>2011 г.</t>
  </si>
  <si>
    <t xml:space="preserve">    на 2012 г. </t>
  </si>
  <si>
    <t xml:space="preserve">    на период 2012-2014 гг.</t>
  </si>
  <si>
    <t>I-II квартал</t>
  </si>
  <si>
    <t>II-III квартал</t>
  </si>
  <si>
    <t>II квартал</t>
  </si>
  <si>
    <t>III квартал</t>
  </si>
  <si>
    <t>III-IV квартал</t>
  </si>
  <si>
    <t>IV квартал</t>
  </si>
  <si>
    <t>I квартал</t>
  </si>
  <si>
    <t>Строительство КЛ-10кВ от ПС "Вурманкасинская" до нового РП в мкр.Альгешево</t>
  </si>
  <si>
    <t>Строительство РП-6кВ, КЛ-6кВ от ПС"Чапаевская" до нового РП по ул. Энтузиастов, г.Чебоксары</t>
  </si>
  <si>
    <t xml:space="preserve">Строительство РП-10 кВ, КЛ-10 кВ от ПС "Светлая" до нового РП в 13 мкр. НЮР г.Чебоксары </t>
  </si>
  <si>
    <t xml:space="preserve">2,15МВА </t>
  </si>
  <si>
    <t>1 кв. 2011 г.</t>
  </si>
  <si>
    <t>2 кв. 2011 г.</t>
  </si>
  <si>
    <t>3 кв. 2011 г.</t>
  </si>
  <si>
    <t>4 кв. 2011 г.</t>
  </si>
  <si>
    <t>2,15МВА /12,93км</t>
  </si>
  <si>
    <t>1,3МВА/ 27,18км</t>
  </si>
  <si>
    <t>2,072 км</t>
  </si>
  <si>
    <t>5,57 км</t>
  </si>
  <si>
    <t>0,89 км</t>
  </si>
  <si>
    <t>0,4МВА/ 2,283 км</t>
  </si>
  <si>
    <t>2,33 МВА/ 4,44 км</t>
  </si>
  <si>
    <t>0,516 км</t>
  </si>
  <si>
    <t>0,56 км</t>
  </si>
  <si>
    <t>1,0 км</t>
  </si>
  <si>
    <t>2,15 МВА</t>
  </si>
  <si>
    <t>4,4км / 1,3МВА</t>
  </si>
  <si>
    <t>Строительство ТП-199 (10-и этажный жилой дом по ул.Пирогова)</t>
  </si>
  <si>
    <t>Строительство КЛ-6кВ от РП-9 до ТП-17 и проектируемой ТП-199, КЛ-0,4кВ от проектируемой ТП-199 до ж/д (10-и этажный жилой дом по ул.Пирогова)</t>
  </si>
  <si>
    <t>Строительство ВЛ-0,4кВ от ТП-138, г.Чебоксары</t>
  </si>
  <si>
    <t>Строительство ВЛ-0,4кВ от ТП-154, г.Чебоксары</t>
  </si>
  <si>
    <t>Строительство ВЛ-0,4кВ для электроснабжения индивидуального жилого дома по ул.Королева, д.8, кв.1,кв.2, г.Чебоксары</t>
  </si>
  <si>
    <t>Строительство ВЛ-0,4кВ от ТП-30А, г.Чебоксары</t>
  </si>
  <si>
    <t>Строительство ВЛИ-0,4кВ от ТП-57 до Мусульманского Прихода №37, г.Новочебоксарск</t>
  </si>
  <si>
    <t>Строительство ВЛ-0,4кВ от опоры №8 КТПН-54 до ж/д ул.Садовая, 68мкр.липовский, г.Новочебоксарск</t>
  </si>
  <si>
    <t>Строительство КЛ-0,4кВ от ТП-30 до мастерской по ремонту кузовов легковых автомобилей по ул.Промышленная г.Новочебоксарск</t>
  </si>
  <si>
    <t>Строительство РП-6кВ взамен существующей, КЛ по ул. Социалистическая, г.Чебоксары</t>
  </si>
  <si>
    <t>Собственная амортизация, 2011 год, тыс.руб без НДС</t>
  </si>
  <si>
    <t xml:space="preserve">Прибыль </t>
  </si>
  <si>
    <t>Амортизация (инвест договора), 2011 год, тыс.руб без НДС</t>
  </si>
  <si>
    <t>49 133,72 за счет экономии от оказания услуг на передачутрической энергии</t>
  </si>
  <si>
    <t>Строительство КЛ-6кВ до ФОК, г.Чебоксары</t>
  </si>
  <si>
    <t>Установка оборудования в ТП-467, г.Чебоксары</t>
  </si>
  <si>
    <t>Строительство ВЛ-0,4 кВ от ТП-148, г.Чебоксары</t>
  </si>
  <si>
    <t>Строительство ВЛ-0,4 кВ от ТП-456, г.Чебоксары</t>
  </si>
  <si>
    <t>Строительство ВЛИ-0,4 кВ от ТП-413, г.Чебоксары</t>
  </si>
  <si>
    <t>Строительство ВЛ-0,4 кВ от ТП-512, г.Чебоксары</t>
  </si>
  <si>
    <t>Строительство ВЛ-0,4 кВ от ТП-55, г.Чебоксары</t>
  </si>
  <si>
    <t>Строительство ВЛИ-0,4 кВ от ТП-22 до КЛ-0,4 кВ (Сквер Студентческий), г.Чебоксары</t>
  </si>
  <si>
    <t>Установка оборудования в ТП-352, г.Чебоксары</t>
  </si>
  <si>
    <t>Установка оборудования в ТП-248, г.Чебоксары</t>
  </si>
  <si>
    <t>Установка оборудования в ТП-292, г.Чебоксары</t>
  </si>
  <si>
    <t>Строительство ВЛ-0,4 кВ  от ТП-30 по ул.Юбилейная, 52, г.Цивильск</t>
  </si>
  <si>
    <t>Строительство  ВЛ-0,4 кВ от ТП-30 до участка №90 в СНТ "Рассвет", г.Новочебоксарск</t>
  </si>
  <si>
    <t>Строительство ВЛИ-0,4кВ от опоры №78 до дома №53, ул.Посадская, г.Мариинский Посад</t>
  </si>
  <si>
    <t>Строительство ВЛИ-0,4кВ от существующей опоры до дома №42, ул.Посадская, г.Мариинский Посад</t>
  </si>
  <si>
    <t>Строительство ВЛИ-0,4кВ от опоры №63 до дома №46, ул.Посадская, г.Мариинский Посад</t>
  </si>
  <si>
    <t>Строительство ВЛИ-0,4кВ от опоры №73 до дома №54, ул.Посадская, г.Мариинский Посад</t>
  </si>
  <si>
    <t>Строительство ВЛИ-0,4кВ от опоры №65 до дома №49, ул.Посадская, г.Мариинский Посад</t>
  </si>
  <si>
    <t>Строительство ВЛИ-0,4кВ от существующей опоры до дома №33, ул.Посадская, г.Мариинский Посад</t>
  </si>
  <si>
    <t>Строительство ВЛИ-0,4кВ от опоры №65 до дома №34, ул.Посадская, г.Мариинский Посад</t>
  </si>
  <si>
    <t>Строительство ВЛИ-0,4кВ от существующей опоры до дома №4, ул.Набережная, г.Мариинский Посад</t>
  </si>
  <si>
    <t>Ожид факт</t>
  </si>
  <si>
    <t>Недоосв</t>
  </si>
  <si>
    <t>Ам по инв дог</t>
  </si>
  <si>
    <t>Установка трансформатора ТМГ-630/6 №1, №2 в ТП-62, г.Чебоксары</t>
  </si>
  <si>
    <t>Установка трансформатора ТМГ-630/6 №1, №2 в ТП-349, г.Чебоксары</t>
  </si>
  <si>
    <t>Установка оборудования в ТП-361, г.Чебоксары</t>
  </si>
  <si>
    <t>Разработка рабочей документации в рамках выполнения мероприятий по  технологическому присоединению</t>
  </si>
  <si>
    <t>Собств ам</t>
  </si>
  <si>
    <t>Строительство ВЛ-0,4кВ от опоры №8 КТПН-54 до ж/д ул.Липовая аллея, 48 мкр.Липовский, г.Новочебоксарск</t>
  </si>
  <si>
    <t>Строительство КЛ-0,4 кВ от ТП-697 до ВЛ-0,4 (Циганская община) кВ, г.Чебоксары</t>
  </si>
  <si>
    <t>Строительство ВЛ-0,4 кВ от ТП-697 (пер.Гремячевский), г.Чебоксары</t>
  </si>
  <si>
    <t xml:space="preserve"> с учетом Энтузиастов КЛ до ПС "Чапаевская (участки 1,2,3,4)</t>
  </si>
  <si>
    <t>с учетом Энтузиастов КЛ до ПС "Чапаевская (участки 1,2,3,4)</t>
  </si>
  <si>
    <t>Электроснабжение группы жилых домов  в г.Чебоксары</t>
  </si>
  <si>
    <t>с учетом Инж центра (ТТ и ТН)  (4576,28)</t>
  </si>
  <si>
    <t>Строительство КЛ-10 кВ от ПС 110/10 "ТЭЦ-1" до ул.Кузнечная</t>
  </si>
  <si>
    <t>Строительство КЛ-6 кВ до ФОК, г.Чебоксары</t>
  </si>
  <si>
    <t>Строительство КЛ-10кВ от ПС 110/10 "ТЭЦ-1"до ул.Кузнечная г.Чебоксары</t>
  </si>
  <si>
    <t>5,3 км</t>
  </si>
  <si>
    <t>«___»________ 2012 года</t>
  </si>
  <si>
    <t>ВЛ-0,4 кВ</t>
  </si>
  <si>
    <t xml:space="preserve">КЛ-0,4 кВ </t>
  </si>
  <si>
    <t>Прочее техническое перевооружение и реконструкция</t>
  </si>
  <si>
    <t>ВЛ-6-10 кВ</t>
  </si>
  <si>
    <t>КЛ-6-10 кВ</t>
  </si>
  <si>
    <t>КЛ-0,4 кВ</t>
  </si>
  <si>
    <t>ТП-6-10/0.4 кВ</t>
  </si>
  <si>
    <t>Прочее новое строительство</t>
  </si>
  <si>
    <t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t>
  </si>
  <si>
    <t>2.3.3.</t>
  </si>
  <si>
    <t>РП-6-10 кВ</t>
  </si>
  <si>
    <t>АПвБбШВ-1</t>
  </si>
  <si>
    <t>Ж/Б</t>
  </si>
  <si>
    <t>СИП-2</t>
  </si>
  <si>
    <t>ААБл-10</t>
  </si>
  <si>
    <t>Контрольные этапы реализации инвестиционного проекта по электросетевому хозяйству  1 квартал 2012 года для сетевой  компании ООО "Коммунальные технологии"</t>
  </si>
  <si>
    <t>А.Н.Собгайда</t>
  </si>
  <si>
    <t>«___»________ 2013 года</t>
  </si>
  <si>
    <t>Первый заместитель генерального директора</t>
  </si>
  <si>
    <t>_________________А.В. Мартьянов</t>
  </si>
  <si>
    <t>ПС 110/6 кВ</t>
  </si>
  <si>
    <t>1.3.1.</t>
  </si>
  <si>
    <t>1.3.6.</t>
  </si>
  <si>
    <t>2.2.4.</t>
  </si>
  <si>
    <t>КЛ-6 кВ от РП-29 до ТП №697 (ТП-1) Гремяческий проезд, г.Чебоксары</t>
  </si>
  <si>
    <t>1,37 км</t>
  </si>
  <si>
    <t>2х0,25 км</t>
  </si>
  <si>
    <t>1 комплект</t>
  </si>
  <si>
    <t>февраль, 2013</t>
  </si>
  <si>
    <t>апрель, 2013</t>
  </si>
  <si>
    <t>март, 2013</t>
  </si>
  <si>
    <t>май, 2013</t>
  </si>
  <si>
    <t>сентябрь, 2013</t>
  </si>
  <si>
    <t>октябрь, 2013</t>
  </si>
  <si>
    <t>июнь, 2013</t>
  </si>
  <si>
    <t>декабрь, 2013</t>
  </si>
  <si>
    <t xml:space="preserve">Отчет о техническом состоянии объектов инвестиционной программы в сфере электроэнергетики ООО "Коммунальные техологии" за 2 квартрал 2013 года </t>
  </si>
  <si>
    <t>2х1,516 км</t>
  </si>
  <si>
    <t>ВЛ-6 кВ</t>
  </si>
  <si>
    <t>ТП, РП-6-10 кВ</t>
  </si>
  <si>
    <t>2,2 км</t>
  </si>
  <si>
    <t>1.1.1.1.</t>
  </si>
  <si>
    <t>1.1.1.2.</t>
  </si>
  <si>
    <t xml:space="preserve">Реконструкция ВЛ-0,4 кВ с заменой на СИП, с установкой КТПК №5 </t>
  </si>
  <si>
    <t>1.1.2.1.</t>
  </si>
  <si>
    <t>ТП-310 ул.Шумилова,13Б</t>
  </si>
  <si>
    <t>ТП-341 б-р Эгерский,18А</t>
  </si>
  <si>
    <t>ТП-342 ул.Л.Комсомола,36А</t>
  </si>
  <si>
    <t>Создание систем телеуправления и сигнализации</t>
  </si>
  <si>
    <t>1.3.3.1.</t>
  </si>
  <si>
    <t>1.3.3.2.</t>
  </si>
  <si>
    <t>от КТПК №4  (с установкой КТПН), г. Мариинский Посад</t>
  </si>
  <si>
    <t>от ТП-14 (с установкой КТПН) - 1 часть, г. Мариинский Посад</t>
  </si>
  <si>
    <t>1.3.4.1.</t>
  </si>
  <si>
    <t>1.3.4.2.</t>
  </si>
  <si>
    <t xml:space="preserve">Замена ВЛ-10 кВ от ПС "Цивильская" на КЛ-10 кВ линия №38 и резервирование РП-1 по ул.Никитина, 6В </t>
  </si>
  <si>
    <t>1.3.5.1.</t>
  </si>
  <si>
    <t>ТП-300 ул.Хузангая,4А</t>
  </si>
  <si>
    <t>ТП-222 (2 этап) пр. Московский, 42 А</t>
  </si>
  <si>
    <t>ТП-303 (2 этап) пр. 9ой Пятилетки, 3 Б</t>
  </si>
  <si>
    <t>1.3.5.2.</t>
  </si>
  <si>
    <t>ТП-27 (перезаводка КЛ), г.Цивильск</t>
  </si>
  <si>
    <t>1.3.6.1.</t>
  </si>
  <si>
    <t>РП-29 Марпосадское шоссе, 9В, г.Чебоксары</t>
  </si>
  <si>
    <t>1.3.7.1.</t>
  </si>
  <si>
    <t>ТП-216, ул.К.Маркса, 36А, г.Чебоксары</t>
  </si>
  <si>
    <t>1.3.7.2.</t>
  </si>
  <si>
    <t>ТП-27 (установка нового ТП)</t>
  </si>
  <si>
    <t>Реконструкция силового оборудования ТП-15 (замена ТМ-560 кВА на ТМГ-400)</t>
  </si>
  <si>
    <t>2.1.3.</t>
  </si>
  <si>
    <t>2.2.1.1.</t>
  </si>
  <si>
    <t xml:space="preserve"> КЛ-6 кВ для электроснабжения 7-8 этажного ж/д по ул.Фучика</t>
  </si>
  <si>
    <t>Строительство КЛ-6 кВ от ГПП ХБК до нового РП в районе ТП-516 по ул. Гагарина,45а и от РП до ТП-111, г.Чебоксары (2 очередь)</t>
  </si>
  <si>
    <t>Строительство КЛ-6 кВ от ГПП ХБК до нового РП в районе ж/д 7/46 по ул. Гайдара и от РП до ТП-107, г.Чебоксары (1 очередь)</t>
  </si>
  <si>
    <t>Строительство КЛ-10 кВ от ПС "Новый город" до РП-3 в жилом районе "Новый город", г.Чебоксары</t>
  </si>
  <si>
    <t>Строительство КЛ-10 кВ от ПС "Новый город" до РП-40 совместно с РП-3 (1 очередь)</t>
  </si>
  <si>
    <t>2.2.2.1.</t>
  </si>
  <si>
    <t>ТП-10 кВ для электроснабжения 7-8 этажного ж/д по ул.Фучика</t>
  </si>
  <si>
    <t>Строительство РП-№3в мкр. "Новый город"</t>
  </si>
  <si>
    <t>2.2.2.2.</t>
  </si>
  <si>
    <t>ТП-10 кВ (для электроснабжения многодетных семей)</t>
  </si>
  <si>
    <t>2.2.3.1.</t>
  </si>
  <si>
    <t>2.2.3.2.</t>
  </si>
  <si>
    <t>2.2.3.3.</t>
  </si>
  <si>
    <t xml:space="preserve"> ВЛЗ в микрорайоне "Южный" (для электроснабжения многодетных семей)</t>
  </si>
  <si>
    <t>2.2.4.1.</t>
  </si>
  <si>
    <t>2.2.5.</t>
  </si>
  <si>
    <t>Плата за технологическое присоединение вышестоящим смежным сетевым организациям для подключения новых объектов строительства***</t>
  </si>
  <si>
    <t>2.2.5.1.</t>
  </si>
  <si>
    <t xml:space="preserve">Оборудование, не входящее в сметы строек </t>
  </si>
  <si>
    <t>1.1.1.1</t>
  </si>
  <si>
    <t>1.1.1.2</t>
  </si>
  <si>
    <t>1.1.2.1</t>
  </si>
  <si>
    <t>1.2.1.1</t>
  </si>
  <si>
    <t>1.3.3.1</t>
  </si>
  <si>
    <t>1.3.3.2</t>
  </si>
  <si>
    <t>1.3.4.1</t>
  </si>
  <si>
    <t>1.3.4.2</t>
  </si>
  <si>
    <t>1.3.5.1</t>
  </si>
  <si>
    <t>1.3.5.2</t>
  </si>
  <si>
    <t>1.3.6.1</t>
  </si>
  <si>
    <t>1.3.7.1</t>
  </si>
  <si>
    <t>1.3.7.3</t>
  </si>
  <si>
    <t>1.3.7.2</t>
  </si>
  <si>
    <t>1.3.7.3.</t>
  </si>
  <si>
    <t>2.2.1.1</t>
  </si>
  <si>
    <t>2.2.2.1</t>
  </si>
  <si>
    <t>2.2.2.2</t>
  </si>
  <si>
    <t>2.2.3.1</t>
  </si>
  <si>
    <t>2.2.3.2</t>
  </si>
  <si>
    <t>2.2.3.3</t>
  </si>
  <si>
    <t>2.2.4.1</t>
  </si>
  <si>
    <t>2.2.5.1</t>
  </si>
  <si>
    <t>3,5 км</t>
  </si>
  <si>
    <t>1,33 км</t>
  </si>
  <si>
    <t>2,49 км</t>
  </si>
  <si>
    <t>1,9 км</t>
  </si>
  <si>
    <t>2,897 км</t>
  </si>
  <si>
    <t>1,886 км</t>
  </si>
  <si>
    <t>3,0 км</t>
  </si>
  <si>
    <t>3,6 км</t>
  </si>
  <si>
    <t>0,54 км</t>
  </si>
  <si>
    <t>2х0,3 км</t>
  </si>
  <si>
    <t>ААБЛ-10 3х150</t>
  </si>
  <si>
    <t>2х2,4 км</t>
  </si>
  <si>
    <t>1,53 км</t>
  </si>
  <si>
    <t>1,208 км</t>
  </si>
  <si>
    <t>2,18 км</t>
  </si>
  <si>
    <t>0,19 км</t>
  </si>
  <si>
    <t>2х0,24 км</t>
  </si>
  <si>
    <t>КСО 2 шт.</t>
  </si>
  <si>
    <t>тр-р 630кВА-2шт.; КСО 6шт.; ЩО70 12шт.</t>
  </si>
  <si>
    <t>КСО 4шт.; ЩО70 8шт.</t>
  </si>
  <si>
    <t>КСО 6шт.</t>
  </si>
  <si>
    <t>КСО 5шт.; ЩО70 3шт.</t>
  </si>
  <si>
    <t>0,8мВА</t>
  </si>
  <si>
    <t>0,4мВА</t>
  </si>
  <si>
    <t>2х0,88км</t>
  </si>
  <si>
    <t>4х0,967км</t>
  </si>
  <si>
    <t>4х0,433км</t>
  </si>
  <si>
    <t>2х0,87км</t>
  </si>
  <si>
    <t>2х1,52 км</t>
  </si>
  <si>
    <t>4х1,3 км</t>
  </si>
  <si>
    <t>1 шт.</t>
  </si>
  <si>
    <t>0,25 мВА</t>
  </si>
  <si>
    <t>0,8 км</t>
  </si>
  <si>
    <t>0,4 км</t>
  </si>
  <si>
    <t>1,4 км</t>
  </si>
  <si>
    <t xml:space="preserve"> ВЛИ в микрорайоне "Южный" (для электроснабжения многодетных семей)</t>
  </si>
  <si>
    <t>2,302 км</t>
  </si>
  <si>
    <t>0,81 км</t>
  </si>
  <si>
    <t>*** - финансирование на данное мероприятие складывается из образовавшиейся экономии при уточнении стоимости мероприятий по результатам закупочных процедур (не требуется корректировка инвестиционной программы)</t>
  </si>
  <si>
    <t>ТП-66 ул. Ленина, 16б, г.Чебоксары (разработка рабочей документации)</t>
  </si>
  <si>
    <t>ТП-260 ул. Гагарина, 15б, г.Чебоксары (разработка рабочей документации)</t>
  </si>
  <si>
    <t>от ТП-117, ул.Энергетиков, 32А (разработка рабочей документации)</t>
  </si>
  <si>
    <t>КЛ-6 кВ от ТП-542 до ТП-123 (разработка рабочей документации)</t>
  </si>
  <si>
    <t>РП-18 ул. Шумилова, 18Б, г.Чебоксары (разработка рабочей документации)</t>
  </si>
  <si>
    <t>ТП-277,  ул.Хевешская, 27А (разработка рабочей документации)</t>
  </si>
  <si>
    <t>КЛ-6 кВ  от ПС "Парковая" до РП-17 (перезаводка КЛ от ПС "ВНИИР"), разработка рабочей документации</t>
  </si>
  <si>
    <t>КЛ-6 кВ  от КТПН по ул.Пристанционная до опоры ВЛ от РП-17 (изменение точки присоединения), разработка рабочей документации</t>
  </si>
  <si>
    <t>КЛ-10 кВ от ПС "Цивильская" до ТП-11 водозабор (Л-36,25), разработка рабочей документации</t>
  </si>
  <si>
    <t>ТП-357 ул. Эгерский б-р, 28а, г.Чебоксары, (разработка рабочей документации)</t>
  </si>
  <si>
    <t>РП-10 до ж/д 12,14,16 по ул. Николаева, г.Чебоксары, (разработка рабочей документации)</t>
  </si>
  <si>
    <t>ТП-153,  ул.Обиковская,567А, (разработка рабочей документации)</t>
  </si>
  <si>
    <t>ТП-232 пр.Мира, 22А (замена КСО и ЩО), разработка рабочей документации</t>
  </si>
  <si>
    <t>по ул.Тальниковая, Юности, Сплавная в п.Сосновка (земельные участки для многодетных семей), разработка рабочей документации</t>
  </si>
  <si>
    <t xml:space="preserve">Строительство ВЛИ-0,4 кВ, ТП кВ по ул.Новая в п.Сосновка (для электроснабжения многодетных семей), разработка рабочей документации </t>
  </si>
  <si>
    <t>от ТП-5 (для электроснабжения многодетных семей), разработка рабочей документации</t>
  </si>
  <si>
    <t>февраль, 2014</t>
  </si>
  <si>
    <t>апрель, 2014</t>
  </si>
  <si>
    <t>март, 2014</t>
  </si>
  <si>
    <t>май, 2014</t>
  </si>
  <si>
    <t>сентябрь, 2014</t>
  </si>
  <si>
    <t>ноябрь, 2014</t>
  </si>
  <si>
    <t>октябрь, 2014</t>
  </si>
  <si>
    <t>4 кв. 2014 г.</t>
  </si>
  <si>
    <t>2014 г.</t>
  </si>
  <si>
    <t xml:space="preserve">РП-6 кВ по ул.Николаева </t>
  </si>
  <si>
    <t xml:space="preserve">РП-6 кВ по ул.Гагарина </t>
  </si>
  <si>
    <t>от ТП-450 по ул.Болгарстроя, 1В с установкой КТПН</t>
  </si>
  <si>
    <t xml:space="preserve"> Участок КЛ-6 кВ от ПС 110/6кВ ТЭЦ-1 до новой РП-6 кВ по ул.Николаева</t>
  </si>
  <si>
    <t>Участок кабельной линии от ул.Кузнечная до проектируемой РП-6 кВ по ул.Энгельса (строящаяся КЛ-6 кВ от ПС 110/6 кВ "ТЭЦ-1" до РП-6 кВ по ул.Энгельса, г.Чебоксары)</t>
  </si>
  <si>
    <t>Объем финансирования
 [отчетный год] 2014 г.</t>
  </si>
  <si>
    <t>(представляется ежеквартально)</t>
  </si>
  <si>
    <t>факт 2014 года***</t>
  </si>
  <si>
    <t>факт по объектам 2013 года</t>
  </si>
  <si>
    <t>факт 2014 года</t>
  </si>
  <si>
    <t>объект 2013 года</t>
  </si>
  <si>
    <t>факт 2014 года**</t>
  </si>
  <si>
    <t xml:space="preserve">Объем финансирования
 [отчетный год] - 2014 г. </t>
  </si>
  <si>
    <t>Реконструкция КЛ-0,4 кВ от ТП-301, г.Чебоксары (2013г.)</t>
  </si>
  <si>
    <t>Реконструкция КЛ-0,4 кВ от ТП-302, г.Чебоксары (2013г.)</t>
  </si>
  <si>
    <t xml:space="preserve">РП-7 ул.П.Лумумба, 17 </t>
  </si>
  <si>
    <t>РП-31, ул.Гладкова, 29</t>
  </si>
  <si>
    <t xml:space="preserve">Строительство КТПНБ-630/ 6/0,4 кВ по ул.Эльгера,г. Чебоксары  </t>
  </si>
  <si>
    <t>РП-20, ул.Р.Зорге, 6</t>
  </si>
  <si>
    <t>ТП-527, ул.Кирова</t>
  </si>
  <si>
    <t xml:space="preserve">Реконструкция ТП-23, ул.Курчатова, 12а </t>
  </si>
  <si>
    <t>РП-17 (для новой КТПН по ул.Пристанционная) г.Чебоксары</t>
  </si>
  <si>
    <t>И.о. генерального директора</t>
  </si>
  <si>
    <t>_________________И.С. Бренштен</t>
  </si>
  <si>
    <t>_________________И.С. Бренштейн</t>
  </si>
  <si>
    <t>________________И.С. Бренштейн</t>
  </si>
  <si>
    <t>И.о. генеральный директор</t>
  </si>
  <si>
    <t>______________И.С. Бренштейн</t>
  </si>
  <si>
    <t>_________________ И.С. Бренштейн</t>
  </si>
  <si>
    <t>Реконструкция КЛ-0,4 кВ от под №2 и под №6 ж/д №16 по ул.Лен. Комсомола до нежилогопомещения №1 ж/д №16 по ул.Лен.Комсомола (ТП-308)</t>
  </si>
  <si>
    <t>Разработка проекта освоения лесов по объекту "ВЛ-0,4 кВ от ТП-616 пос.Первомайский"</t>
  </si>
  <si>
    <t>1.3.2.1.</t>
  </si>
  <si>
    <t>Реконструкция ВЛ-6/10 кВ с установкой реклузеров в Заволжье, г.Чебоксары</t>
  </si>
  <si>
    <t>Реконструкция КЛ-0,4 кВ от ТП-292 до шкафа, проектирумого с наружней стороны гаражного бокса №57 по Базовому пр. д.6</t>
  </si>
  <si>
    <t>Реконструкция КЛ-0,4 кВ от ТП-127 до шкафа, проектирумого с наружней стороны гаражного бокса по ул.Декабристов, д.8 "Б"</t>
  </si>
  <si>
    <t>Разработка рабочей документации и выполнение строительно-монтажных работ по объекту ТП-10кВ, КЛ-10кВи ВЛИ-0,4 кВот ТП-523 до садовых домиков в р-не НСТ Чапаевец", г.Чебоксары</t>
  </si>
  <si>
    <t>включено по техническим причинам</t>
  </si>
  <si>
    <t>Разработка рабочей документации и выполнение строительно-монтажных работ КЛ-6 кВ от опоры №12 ВЛ-6 кВ (ТП-149 - ТП-128) до ТП-6/0,4кВ, расположенной по ул.Нефтебазовая, г.Чебоксары</t>
  </si>
  <si>
    <t xml:space="preserve">Разработка рабочей документации "Строительство КЛ-6 и ТП взамен существующей ТП-244, для электроснабжения школы интерната для одаренных детей им.Г.С.Лебедева"  </t>
  </si>
  <si>
    <t xml:space="preserve">Разработка рабочей документации "Строительство новой КТПН взамен существующей ТП-481 в здании котельной по ул.Тополиная, д.9 г.Чебоксары."  </t>
  </si>
  <si>
    <t xml:space="preserve"> Строительство ВЛ-10 кВ от опоры №42 ВЛ-10 кВ "ТП-324-ТП-187" до проектируемой ТП для электроснабжения садовых домиков ДНТ "Полет" и СНТ "Мичуринец"</t>
  </si>
  <si>
    <t>Строительство ВЛИ-0,4 кВот ТП-661 до садовых домиков в р-не НСТ "Ивушка", г.Чебоксары</t>
  </si>
  <si>
    <t>Строительство ВЛИ-0,4 кВот ТП-527 до садовых домиков в р-не НСТ "Лесное", г.Чебоксары</t>
  </si>
  <si>
    <t>Реконструкция ТП-424</t>
  </si>
  <si>
    <t>Реконструкция ТП-196 (тр-р ТМГ-400/10)</t>
  </si>
  <si>
    <t>Реконструкция ТП-477 (тр-р ТМГ-630/10-2 шт)</t>
  </si>
  <si>
    <t>Реконструкция ТП-480 (тр-р ТМГ-630/10-1 шт)</t>
  </si>
  <si>
    <t>Реконструкция ТП-450</t>
  </si>
  <si>
    <t>Не выполнен демонтаж опор</t>
  </si>
  <si>
    <t>Не выполнено благоустройство</t>
  </si>
  <si>
    <t>2 часть работ заплвнирована на 2015 год</t>
  </si>
  <si>
    <t>Остались работы по подключению КЛ в ПС "Цивильск"</t>
  </si>
  <si>
    <t>«___»________ 2015 года</t>
  </si>
  <si>
    <t>1.3.2.1</t>
  </si>
  <si>
    <t>Отчет об исполнении основных этапов работ по реализации инвестиционной программы в сфере электроэнергетики ООО "Коммунальные технологии"  за 12 месяцев 2014 года</t>
  </si>
  <si>
    <t xml:space="preserve">Отчет об источниках финансирования инвестиционной программы в сфере электроэнергетики ООО "Коммунальные технологии"                                                                                                                                                              за 12 месяцев 2014 года,   млн. рублей  (представляется ежеквартально) </t>
  </si>
  <si>
    <t>Отчет о вводах/выводах объектов реконструкции и капитального строительства по инвестиционной программе в сфере электроэнергетики ООО "Коммунальные технологии"                                                               за 12 месяцев 2014 года
(представляется ежегодно)</t>
  </si>
  <si>
    <t>Отчет об исполнении сетевых графиков строительства проектов инвестиционной  программы в сфере электроэнергетики ООО "Коммунальные техологии" за 12 месяцев 2014 года 
(представляется ежеквартально)</t>
  </si>
  <si>
    <t>декабрь, 2014</t>
  </si>
  <si>
    <t>Финансовые показатели  за 12 месяцев 2014 года</t>
  </si>
  <si>
    <t>За 12 месяцев 2014 года</t>
  </si>
  <si>
    <t>Контрольные этапы реализации инвестиционного проекта в сфере электроэнергетики ООО "Коммунальные техологии" за 12 месяцев 2014 года</t>
  </si>
  <si>
    <t>в связи с техническими проблемами при прокладе кабельной линии (стесненные условия)</t>
  </si>
  <si>
    <t>Выполнение АСОДУ запланировано в 2015 году</t>
  </si>
  <si>
    <t>перенесено на 2015 год</t>
  </si>
  <si>
    <t>Отчет об исполнении инвестиционной программы в сфере электроэнергетики ООО "Коммунальные технологии" за 12 месяцев 2014 года, млн. рублей с НДС</t>
  </si>
  <si>
    <t>9 компл</t>
  </si>
  <si>
    <t>0,72км</t>
  </si>
  <si>
    <t>0,63 мВА</t>
  </si>
  <si>
    <t>2х0,63мВА</t>
  </si>
  <si>
    <t>0,63мВА</t>
  </si>
  <si>
    <t>3 компл</t>
  </si>
  <si>
    <t>Отчет об исполнении инвестиционной программы по электросетевому хозяйству ООО "Коммунальные технологии" за 2014 год, млн. рублей с НДС
(представляется ежегодно)</t>
  </si>
  <si>
    <t>"___"________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</si>
</sst>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0.0000"/>
    <numFmt numFmtId="179" formatCode="0.000"/>
    <numFmt numFmtId="180" formatCode="#,##0.0000"/>
  </numFmts>
  <fonts count="6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4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b/>
      <sz val="13"/>
      <name val="Times New Roman"/>
      <family val="1"/>
    </font>
    <font>
      <sz val="10"/>
      <name val="Helv"/>
      <family val="0"/>
    </font>
    <font>
      <sz val="12"/>
      <name val="Tahoma"/>
      <family val="2"/>
    </font>
    <font>
      <b/>
      <sz val="10"/>
      <name val="Times New Roman"/>
      <family val="1"/>
    </font>
    <font>
      <sz val="9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9" fontId="51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53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right" vertical="center"/>
    </xf>
    <xf numFmtId="0" fontId="1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/>
    </xf>
    <xf numFmtId="0" fontId="1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31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righ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center"/>
    </xf>
    <xf numFmtId="16" fontId="0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right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2" fontId="28" fillId="0" borderId="0" xfId="0" applyNumberFormat="1" applyFont="1" applyAlignment="1">
      <alignment horizontal="right" vertical="top" wrapText="1"/>
    </xf>
    <xf numFmtId="16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justify" vertical="center" wrapText="1"/>
    </xf>
    <xf numFmtId="0" fontId="0" fillId="0" borderId="29" xfId="0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0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14" xfId="54" applyNumberFormat="1" applyFont="1" applyBorder="1" applyAlignment="1">
      <alignment horizontal="center" vertical="center" wrapText="1"/>
      <protection/>
    </xf>
    <xf numFmtId="169" fontId="1" fillId="0" borderId="11" xfId="54" applyNumberFormat="1" applyFont="1" applyBorder="1" applyAlignment="1">
      <alignment horizontal="center" wrapText="1"/>
      <protection/>
    </xf>
    <xf numFmtId="0" fontId="31" fillId="0" borderId="22" xfId="54" applyFont="1" applyBorder="1" applyAlignment="1">
      <alignment horizontal="center"/>
      <protection/>
    </xf>
    <xf numFmtId="169" fontId="1" fillId="20" borderId="11" xfId="54" applyNumberFormat="1" applyFont="1" applyFill="1" applyBorder="1" applyAlignment="1">
      <alignment horizontal="center" vertical="center" wrapText="1"/>
      <protection/>
    </xf>
    <xf numFmtId="169" fontId="1" fillId="20" borderId="11" xfId="54" applyNumberFormat="1" applyFont="1" applyFill="1" applyBorder="1" applyAlignment="1">
      <alignment horizontal="center" wrapText="1"/>
      <protection/>
    </xf>
    <xf numFmtId="169" fontId="32" fillId="20" borderId="11" xfId="54" applyNumberFormat="1" applyFont="1" applyFill="1" applyBorder="1" applyAlignment="1">
      <alignment horizontal="center" wrapText="1"/>
      <protection/>
    </xf>
    <xf numFmtId="169" fontId="0" fillId="0" borderId="11" xfId="54" applyNumberFormat="1" applyFont="1" applyBorder="1" applyAlignment="1">
      <alignment wrapText="1"/>
      <protection/>
    </xf>
    <xf numFmtId="169" fontId="0" fillId="0" borderId="11" xfId="54" applyNumberFormat="1" applyFont="1" applyBorder="1" applyAlignment="1">
      <alignment horizontal="left" wrapText="1" indent="1"/>
      <protection/>
    </xf>
    <xf numFmtId="169" fontId="27" fillId="0" borderId="11" xfId="54" applyNumberFormat="1" applyFont="1" applyBorder="1" applyAlignment="1">
      <alignment horizontal="left" wrapText="1" indent="2"/>
      <protection/>
    </xf>
    <xf numFmtId="169" fontId="0" fillId="0" borderId="11" xfId="54" applyNumberFormat="1" applyFont="1" applyBorder="1">
      <alignment/>
      <protection/>
    </xf>
    <xf numFmtId="169" fontId="0" fillId="0" borderId="11" xfId="54" applyNumberFormat="1" applyFont="1" applyBorder="1" applyAlignment="1">
      <alignment vertical="center"/>
      <protection/>
    </xf>
    <xf numFmtId="169" fontId="33" fillId="0" borderId="0" xfId="54" applyNumberFormat="1" applyFont="1" applyAlignment="1">
      <alignment wrapText="1"/>
      <protection/>
    </xf>
    <xf numFmtId="169" fontId="1" fillId="20" borderId="11" xfId="54" applyNumberFormat="1" applyFont="1" applyFill="1" applyBorder="1" applyAlignment="1">
      <alignment horizontal="right" vertical="center" wrapText="1"/>
      <protection/>
    </xf>
    <xf numFmtId="169" fontId="1" fillId="20" borderId="11" xfId="54" applyNumberFormat="1" applyFont="1" applyFill="1" applyBorder="1" applyAlignment="1">
      <alignment horizontal="right" wrapText="1"/>
      <protection/>
    </xf>
    <xf numFmtId="169" fontId="32" fillId="20" borderId="11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24" borderId="11" xfId="55" applyFont="1" applyFill="1" applyBorder="1" applyAlignment="1">
      <alignment wrapText="1"/>
      <protection/>
    </xf>
    <xf numFmtId="0" fontId="0" fillId="0" borderId="11" xfId="0" applyFont="1" applyBorder="1" applyAlignment="1">
      <alignment horizontal="left"/>
    </xf>
    <xf numFmtId="0" fontId="1" fillId="7" borderId="1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wrapText="1"/>
    </xf>
    <xf numFmtId="0" fontId="1" fillId="25" borderId="29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74" fontId="1" fillId="15" borderId="28" xfId="0" applyNumberFormat="1" applyFont="1" applyFill="1" applyBorder="1" applyAlignment="1">
      <alignment horizontal="center" vertical="center" wrapText="1"/>
    </xf>
    <xf numFmtId="174" fontId="1" fillId="25" borderId="11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174" fontId="1" fillId="4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1" fillId="4" borderId="14" xfId="0" applyNumberFormat="1" applyFont="1" applyFill="1" applyBorder="1" applyAlignment="1">
      <alignment horizontal="center" vertical="center" wrapText="1"/>
    </xf>
    <xf numFmtId="174" fontId="1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top"/>
    </xf>
    <xf numFmtId="0" fontId="37" fillId="7" borderId="11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distributed"/>
    </xf>
    <xf numFmtId="0" fontId="37" fillId="7" borderId="11" xfId="0" applyFont="1" applyFill="1" applyBorder="1" applyAlignment="1">
      <alignment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4" fontId="1" fillId="25" borderId="28" xfId="0" applyNumberFormat="1" applyFont="1" applyFill="1" applyBorder="1" applyAlignment="1">
      <alignment horizontal="right" vertical="center" wrapText="1"/>
    </xf>
    <xf numFmtId="174" fontId="1" fillId="4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1" fillId="25" borderId="11" xfId="0" applyNumberFormat="1" applyFont="1" applyFill="1" applyBorder="1" applyAlignment="1">
      <alignment horizontal="right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distributed"/>
    </xf>
    <xf numFmtId="0" fontId="32" fillId="7" borderId="11" xfId="0" applyFont="1" applyFill="1" applyBorder="1" applyAlignment="1">
      <alignment vertical="center" wrapText="1"/>
    </xf>
    <xf numFmtId="174" fontId="1" fillId="7" borderId="28" xfId="0" applyNumberFormat="1" applyFont="1" applyFill="1" applyBorder="1" applyAlignment="1">
      <alignment horizontal="right" vertical="center" wrapText="1"/>
    </xf>
    <xf numFmtId="174" fontId="1" fillId="25" borderId="11" xfId="0" applyNumberFormat="1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2" fillId="25" borderId="11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32" fillId="7" borderId="28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 horizontal="right" vertical="center" wrapText="1"/>
    </xf>
    <xf numFmtId="174" fontId="1" fillId="0" borderId="13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Alignment="1">
      <alignment horizontal="right" vertical="top" wrapText="1"/>
    </xf>
    <xf numFmtId="0" fontId="1" fillId="0" borderId="49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16" fontId="1" fillId="22" borderId="13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left" vertical="center" wrapText="1"/>
    </xf>
    <xf numFmtId="174" fontId="0" fillId="0" borderId="11" xfId="0" applyNumberFormat="1" applyFont="1" applyFill="1" applyBorder="1" applyAlignment="1">
      <alignment vertical="center" wrapText="1"/>
    </xf>
    <xf numFmtId="174" fontId="1" fillId="22" borderId="11" xfId="0" applyNumberFormat="1" applyFont="1" applyFill="1" applyBorder="1" applyAlignment="1">
      <alignment vertical="center" wrapText="1"/>
    </xf>
    <xf numFmtId="174" fontId="1" fillId="7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Border="1" applyAlignment="1">
      <alignment vertical="center" wrapText="1"/>
    </xf>
    <xf numFmtId="174" fontId="0" fillId="7" borderId="11" xfId="0" applyNumberFormat="1" applyFont="1" applyFill="1" applyBorder="1" applyAlignment="1">
      <alignment horizontal="center" vertical="center" wrapText="1"/>
    </xf>
    <xf numFmtId="174" fontId="1" fillId="7" borderId="11" xfId="0" applyNumberFormat="1" applyFont="1" applyFill="1" applyBorder="1" applyAlignment="1">
      <alignment horizontal="center" vertical="center" wrapText="1"/>
    </xf>
    <xf numFmtId="174" fontId="1" fillId="22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174" fontId="1" fillId="4" borderId="11" xfId="0" applyNumberFormat="1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174" fontId="1" fillId="0" borderId="28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 horizontal="center" vertical="center" wrapText="1"/>
    </xf>
    <xf numFmtId="174" fontId="0" fillId="0" borderId="28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174" fontId="0" fillId="22" borderId="11" xfId="0" applyNumberFormat="1" applyFont="1" applyFill="1" applyBorder="1" applyAlignment="1">
      <alignment horizontal="right" vertical="center" wrapText="1"/>
    </xf>
    <xf numFmtId="174" fontId="1" fillId="7" borderId="11" xfId="0" applyNumberFormat="1" applyFont="1" applyFill="1" applyBorder="1" applyAlignment="1">
      <alignment horizontal="right" vertical="center" wrapText="1"/>
    </xf>
    <xf numFmtId="174" fontId="1" fillId="22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/>
    </xf>
    <xf numFmtId="0" fontId="36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distributed"/>
    </xf>
    <xf numFmtId="0" fontId="36" fillId="4" borderId="11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36" fillId="0" borderId="0" xfId="0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top"/>
    </xf>
    <xf numFmtId="16" fontId="1" fillId="22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29" fillId="7" borderId="12" xfId="0" applyFont="1" applyFill="1" applyBorder="1" applyAlignment="1">
      <alignment horizontal="center" vertical="distributed"/>
    </xf>
    <xf numFmtId="0" fontId="1" fillId="7" borderId="12" xfId="0" applyFont="1" applyFill="1" applyBorder="1" applyAlignment="1">
      <alignment horizontal="center" vertical="distributed"/>
    </xf>
    <xf numFmtId="0" fontId="1" fillId="25" borderId="12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1" fillId="4" borderId="28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top" wrapText="1"/>
    </xf>
    <xf numFmtId="168" fontId="1" fillId="0" borderId="11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0" fillId="4" borderId="11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/>
    </xf>
    <xf numFmtId="0" fontId="1" fillId="4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74" fontId="1" fillId="4" borderId="28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top"/>
    </xf>
    <xf numFmtId="0" fontId="26" fillId="0" borderId="3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 vertical="center"/>
    </xf>
    <xf numFmtId="41" fontId="1" fillId="0" borderId="48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1" fontId="0" fillId="0" borderId="15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41" fontId="1" fillId="0" borderId="51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41" fontId="1" fillId="0" borderId="52" xfId="0" applyNumberFormat="1" applyFont="1" applyBorder="1" applyAlignment="1">
      <alignment horizontal="right" vertical="center"/>
    </xf>
    <xf numFmtId="41" fontId="0" fillId="0" borderId="48" xfId="0" applyNumberFormat="1" applyFont="1" applyBorder="1" applyAlignment="1">
      <alignment horizontal="right" vertical="center"/>
    </xf>
    <xf numFmtId="0" fontId="36" fillId="0" borderId="22" xfId="0" applyFont="1" applyBorder="1" applyAlignment="1">
      <alignment/>
    </xf>
    <xf numFmtId="41" fontId="0" fillId="0" borderId="51" xfId="0" applyNumberFormat="1" applyFont="1" applyBorder="1" applyAlignment="1">
      <alignment horizontal="right" vertical="center"/>
    </xf>
    <xf numFmtId="41" fontId="0" fillId="0" borderId="49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41" fontId="23" fillId="0" borderId="12" xfId="0" applyNumberFormat="1" applyFont="1" applyBorder="1" applyAlignment="1">
      <alignment vertical="center"/>
    </xf>
    <xf numFmtId="41" fontId="23" fillId="0" borderId="30" xfId="0" applyNumberFormat="1" applyFont="1" applyBorder="1" applyAlignment="1">
      <alignment vertical="center"/>
    </xf>
    <xf numFmtId="41" fontId="23" fillId="0" borderId="15" xfId="0" applyNumberFormat="1" applyFont="1" applyBorder="1" applyAlignment="1">
      <alignment vertical="center"/>
    </xf>
    <xf numFmtId="0" fontId="1" fillId="4" borderId="25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4" borderId="2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47" fillId="0" borderId="11" xfId="0" applyFont="1" applyBorder="1" applyAlignment="1">
      <alignment horizontal="left" wrapText="1"/>
    </xf>
    <xf numFmtId="4" fontId="48" fillId="0" borderId="11" xfId="55" applyNumberFormat="1" applyFont="1" applyBorder="1" applyAlignment="1">
      <alignment horizontal="center" vertical="center" wrapText="1"/>
      <protection/>
    </xf>
    <xf numFmtId="4" fontId="0" fillId="0" borderId="11" xfId="0" applyNumberFormat="1" applyBorder="1" applyAlignment="1">
      <alignment horizontal="center" vertical="center"/>
    </xf>
    <xf numFmtId="4" fontId="34" fillId="0" borderId="11" xfId="55" applyNumberFormat="1" applyFont="1" applyFill="1" applyBorder="1" applyAlignment="1">
      <alignment horizontal="center" vertical="center" wrapText="1"/>
      <protection/>
    </xf>
    <xf numFmtId="4" fontId="48" fillId="0" borderId="11" xfId="55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wrapText="1"/>
    </xf>
    <xf numFmtId="0" fontId="49" fillId="0" borderId="11" xfId="55" applyFont="1" applyFill="1" applyBorder="1" applyAlignment="1">
      <alignment wrapText="1"/>
      <protection/>
    </xf>
    <xf numFmtId="0" fontId="46" fillId="4" borderId="11" xfId="0" applyFont="1" applyFill="1" applyBorder="1" applyAlignment="1">
      <alignment/>
    </xf>
    <xf numFmtId="4" fontId="51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wrapText="1"/>
    </xf>
    <xf numFmtId="49" fontId="45" fillId="0" borderId="11" xfId="55" applyNumberFormat="1" applyFont="1" applyFill="1" applyBorder="1" applyAlignment="1" applyProtection="1">
      <alignment vertical="center" wrapText="1"/>
      <protection locked="0"/>
    </xf>
    <xf numFmtId="17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45" fillId="0" borderId="28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left" vertical="center" wrapText="1"/>
    </xf>
    <xf numFmtId="174" fontId="1" fillId="7" borderId="28" xfId="0" applyNumberFormat="1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left" vertical="center" wrapText="1"/>
    </xf>
    <xf numFmtId="4" fontId="45" fillId="0" borderId="54" xfId="0" applyNumberFormat="1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 wrapText="1"/>
    </xf>
    <xf numFmtId="174" fontId="1" fillId="0" borderId="34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1" fillId="7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4" fontId="45" fillId="0" borderId="56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wrapText="1"/>
    </xf>
    <xf numFmtId="4" fontId="51" fillId="0" borderId="11" xfId="0" applyNumberFormat="1" applyFont="1" applyBorder="1" applyAlignment="1">
      <alignment horizontal="center" vertical="center"/>
    </xf>
    <xf numFmtId="4" fontId="51" fillId="0" borderId="5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47" fillId="0" borderId="11" xfId="55" applyFont="1" applyFill="1" applyBorder="1" applyAlignment="1">
      <alignment wrapText="1"/>
      <protection/>
    </xf>
    <xf numFmtId="4" fontId="45" fillId="4" borderId="11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wrapText="1"/>
    </xf>
    <xf numFmtId="4" fontId="45" fillId="4" borderId="56" xfId="0" applyNumberFormat="1" applyFont="1" applyFill="1" applyBorder="1" applyAlignment="1">
      <alignment horizontal="center" vertical="center"/>
    </xf>
    <xf numFmtId="4" fontId="50" fillId="4" borderId="14" xfId="0" applyNumberFormat="1" applyFon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" fontId="1" fillId="25" borderId="13" xfId="0" applyNumberFormat="1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52" fillId="0" borderId="0" xfId="63" applyNumberFormat="1" applyFont="1" applyFill="1" applyBorder="1" applyAlignment="1" applyProtection="1">
      <alignment vertical="top"/>
      <protection/>
    </xf>
    <xf numFmtId="0" fontId="49" fillId="0" borderId="0" xfId="55" applyFont="1" applyAlignment="1">
      <alignment wrapText="1"/>
      <protection/>
    </xf>
    <xf numFmtId="4" fontId="1" fillId="25" borderId="11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74" fontId="0" fillId="25" borderId="14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 vertical="center" wrapText="1"/>
    </xf>
    <xf numFmtId="174" fontId="1" fillId="4" borderId="11" xfId="0" applyNumberFormat="1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4" fontId="36" fillId="0" borderId="14" xfId="0" applyNumberFormat="1" applyFon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174" fontId="32" fillId="0" borderId="14" xfId="0" applyNumberFormat="1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vertical="center"/>
    </xf>
    <xf numFmtId="0" fontId="36" fillId="4" borderId="11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0" fontId="36" fillId="4" borderId="14" xfId="0" applyFont="1" applyFill="1" applyBorder="1" applyAlignment="1">
      <alignment vertical="center"/>
    </xf>
    <xf numFmtId="0" fontId="36" fillId="4" borderId="14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vertical="center"/>
    </xf>
    <xf numFmtId="0" fontId="36" fillId="4" borderId="14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177" fontId="36" fillId="4" borderId="14" xfId="0" applyNumberFormat="1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vertical="center"/>
    </xf>
    <xf numFmtId="174" fontId="36" fillId="25" borderId="14" xfId="0" applyNumberFormat="1" applyFont="1" applyFill="1" applyBorder="1" applyAlignment="1">
      <alignment horizontal="right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vertical="center"/>
    </xf>
    <xf numFmtId="177" fontId="36" fillId="25" borderId="14" xfId="0" applyNumberFormat="1" applyFont="1" applyFill="1" applyBorder="1" applyAlignment="1">
      <alignment horizontal="center" vertical="center"/>
    </xf>
    <xf numFmtId="174" fontId="32" fillId="7" borderId="11" xfId="0" applyNumberFormat="1" applyFont="1" applyFill="1" applyBorder="1" applyAlignment="1">
      <alignment horizontal="center" vertical="center" wrapText="1"/>
    </xf>
    <xf numFmtId="174" fontId="32" fillId="25" borderId="11" xfId="0" applyNumberFormat="1" applyFont="1" applyFill="1" applyBorder="1" applyAlignment="1">
      <alignment horizontal="center" vertical="center"/>
    </xf>
    <xf numFmtId="174" fontId="36" fillId="4" borderId="11" xfId="0" applyNumberFormat="1" applyFont="1" applyFill="1" applyBorder="1" applyAlignment="1">
      <alignment horizontal="center" vertical="center"/>
    </xf>
    <xf numFmtId="174" fontId="36" fillId="0" borderId="11" xfId="0" applyNumberFormat="1" applyFont="1" applyFill="1" applyBorder="1" applyAlignment="1">
      <alignment horizontal="center" vertical="center"/>
    </xf>
    <xf numFmtId="174" fontId="36" fillId="4" borderId="14" xfId="0" applyNumberFormat="1" applyFont="1" applyFill="1" applyBorder="1" applyAlignment="1">
      <alignment horizontal="center" vertical="center"/>
    </xf>
    <xf numFmtId="174" fontId="36" fillId="0" borderId="14" xfId="0" applyNumberFormat="1" applyFont="1" applyFill="1" applyBorder="1" applyAlignment="1">
      <alignment horizontal="center" vertical="center"/>
    </xf>
    <xf numFmtId="174" fontId="36" fillId="25" borderId="14" xfId="0" applyNumberFormat="1" applyFont="1" applyFill="1" applyBorder="1" applyAlignment="1">
      <alignment horizontal="center" vertical="center"/>
    </xf>
    <xf numFmtId="0" fontId="0" fillId="0" borderId="0" xfId="63" applyNumberFormat="1" applyFont="1" applyFill="1" applyBorder="1" applyAlignment="1" applyProtection="1">
      <alignment vertical="top"/>
      <protection/>
    </xf>
    <xf numFmtId="0" fontId="54" fillId="0" borderId="0" xfId="55" applyFont="1" applyAlignment="1">
      <alignment wrapText="1"/>
      <protection/>
    </xf>
    <xf numFmtId="0" fontId="0" fillId="0" borderId="0" xfId="63" applyNumberFormat="1" applyFont="1" applyFill="1" applyBorder="1" applyAlignment="1" applyProtection="1">
      <alignment vertical="top"/>
      <protection/>
    </xf>
    <xf numFmtId="0" fontId="45" fillId="0" borderId="11" xfId="0" applyFont="1" applyBorder="1" applyAlignment="1">
      <alignment horizontal="center" vertical="center"/>
    </xf>
    <xf numFmtId="0" fontId="46" fillId="4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wrapText="1"/>
    </xf>
    <xf numFmtId="0" fontId="46" fillId="4" borderId="11" xfId="0" applyFont="1" applyFill="1" applyBorder="1" applyAlignment="1">
      <alignment vertical="center"/>
    </xf>
    <xf numFmtId="0" fontId="45" fillId="22" borderId="11" xfId="0" applyFont="1" applyFill="1" applyBorder="1" applyAlignment="1">
      <alignment horizontal="center" vertical="center" wrapText="1"/>
    </xf>
    <xf numFmtId="0" fontId="45" fillId="22" borderId="11" xfId="0" applyFont="1" applyFill="1" applyBorder="1" applyAlignment="1">
      <alignment horizontal="center" vertical="center"/>
    </xf>
    <xf numFmtId="4" fontId="45" fillId="22" borderId="11" xfId="0" applyNumberFormat="1" applyFont="1" applyFill="1" applyBorder="1" applyAlignment="1">
      <alignment horizontal="center" vertical="center"/>
    </xf>
    <xf numFmtId="4" fontId="48" fillId="22" borderId="11" xfId="55" applyNumberFormat="1" applyFont="1" applyFill="1" applyBorder="1" applyAlignment="1">
      <alignment horizontal="center" vertical="center" wrapText="1"/>
      <protection/>
    </xf>
    <xf numFmtId="174" fontId="0" fillId="22" borderId="11" xfId="0" applyNumberFormat="1" applyFont="1" applyFill="1" applyBorder="1" applyAlignment="1">
      <alignment horizontal="center" vertical="center" wrapText="1"/>
    </xf>
    <xf numFmtId="4" fontId="0" fillId="22" borderId="11" xfId="0" applyNumberFormat="1" applyFill="1" applyBorder="1" applyAlignment="1">
      <alignment horizontal="center" vertical="center"/>
    </xf>
    <xf numFmtId="4" fontId="34" fillId="22" borderId="11" xfId="55" applyNumberFormat="1" applyFont="1" applyFill="1" applyBorder="1" applyAlignment="1">
      <alignment horizontal="center" vertical="center" wrapText="1"/>
      <protection/>
    </xf>
    <xf numFmtId="4" fontId="51" fillId="22" borderId="11" xfId="0" applyNumberFormat="1" applyFont="1" applyFill="1" applyBorder="1" applyAlignment="1">
      <alignment horizontal="center" vertical="center"/>
    </xf>
    <xf numFmtId="4" fontId="1" fillId="22" borderId="11" xfId="0" applyNumberFormat="1" applyFont="1" applyFill="1" applyBorder="1" applyAlignment="1">
      <alignment horizontal="center" vertical="center"/>
    </xf>
    <xf numFmtId="4" fontId="50" fillId="22" borderId="11" xfId="0" applyNumberFormat="1" applyFont="1" applyFill="1" applyBorder="1" applyAlignment="1">
      <alignment vertical="center"/>
    </xf>
    <xf numFmtId="4" fontId="0" fillId="22" borderId="11" xfId="0" applyNumberFormat="1" applyFill="1" applyBorder="1" applyAlignment="1">
      <alignment horizontal="right"/>
    </xf>
    <xf numFmtId="0" fontId="0" fillId="22" borderId="11" xfId="0" applyFill="1" applyBorder="1" applyAlignment="1">
      <alignment/>
    </xf>
    <xf numFmtId="0" fontId="45" fillId="0" borderId="51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2" fontId="28" fillId="0" borderId="0" xfId="0" applyNumberFormat="1" applyFont="1" applyBorder="1" applyAlignment="1">
      <alignment horizontal="right" vertical="top"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174" fontId="0" fillId="24" borderId="11" xfId="0" applyNumberFormat="1" applyFont="1" applyFill="1" applyBorder="1" applyAlignment="1">
      <alignment horizontal="center" vertical="center" wrapText="1"/>
    </xf>
    <xf numFmtId="174" fontId="0" fillId="24" borderId="14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vertical="center" wrapText="1"/>
    </xf>
    <xf numFmtId="174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47" fillId="24" borderId="11" xfId="0" applyFont="1" applyFill="1" applyBorder="1" applyAlignment="1">
      <alignment wrapText="1"/>
    </xf>
    <xf numFmtId="4" fontId="45" fillId="24" borderId="11" xfId="0" applyNumberFormat="1" applyFont="1" applyFill="1" applyBorder="1" applyAlignment="1">
      <alignment horizontal="center" vertical="center"/>
    </xf>
    <xf numFmtId="4" fontId="0" fillId="24" borderId="14" xfId="0" applyNumberFormat="1" applyFill="1" applyBorder="1" applyAlignment="1">
      <alignment vertical="center" wrapText="1"/>
    </xf>
    <xf numFmtId="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74" fontId="1" fillId="2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4" borderId="11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24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top"/>
    </xf>
    <xf numFmtId="0" fontId="49" fillId="0" borderId="0" xfId="55" applyFont="1" applyBorder="1" applyAlignment="1">
      <alignment wrapText="1"/>
      <protection/>
    </xf>
    <xf numFmtId="0" fontId="0" fillId="0" borderId="0" xfId="0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49" fillId="0" borderId="0" xfId="55" applyNumberFormat="1" applyFont="1" applyFill="1" applyBorder="1" applyAlignment="1">
      <alignment horizontal="left" wrapText="1"/>
      <protection/>
    </xf>
    <xf numFmtId="49" fontId="51" fillId="0" borderId="0" xfId="56">
      <alignment vertical="top"/>
      <protection/>
    </xf>
    <xf numFmtId="49" fontId="51" fillId="0" borderId="0" xfId="56" applyBorder="1">
      <alignment vertical="top"/>
      <protection/>
    </xf>
    <xf numFmtId="49" fontId="49" fillId="0" borderId="0" xfId="56" applyFont="1" applyAlignment="1">
      <alignment/>
      <protection/>
    </xf>
    <xf numFmtId="49" fontId="51" fillId="0" borderId="58" xfId="56" applyBorder="1">
      <alignment vertical="top"/>
      <protection/>
    </xf>
    <xf numFmtId="49" fontId="51" fillId="0" borderId="0" xfId="56" applyAlignment="1">
      <alignment horizontal="left" vertical="top"/>
      <protection/>
    </xf>
    <xf numFmtId="49" fontId="51" fillId="0" borderId="0" xfId="56" applyBorder="1" applyAlignment="1">
      <alignment horizontal="left" vertical="top"/>
      <protection/>
    </xf>
    <xf numFmtId="0" fontId="1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74" fontId="36" fillId="0" borderId="1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" fontId="1" fillId="25" borderId="11" xfId="0" applyNumberFormat="1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9" fontId="49" fillId="0" borderId="0" xfId="56" applyFont="1" applyBorder="1" applyAlignment="1">
      <alignment/>
      <protection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4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0" fillId="0" borderId="0" xfId="0" applyFont="1" applyAlignment="1">
      <alignment vertical="center" wrapText="1"/>
    </xf>
    <xf numFmtId="0" fontId="54" fillId="0" borderId="0" xfId="55" applyFont="1" applyAlignment="1">
      <alignment vertical="center" wrapText="1"/>
      <protection/>
    </xf>
    <xf numFmtId="0" fontId="0" fillId="0" borderId="0" xfId="63" applyNumberFormat="1" applyFont="1" applyFill="1" applyBorder="1" applyAlignment="1" applyProtection="1">
      <alignment horizontal="right" vertical="top"/>
      <protection/>
    </xf>
    <xf numFmtId="0" fontId="1" fillId="0" borderId="11" xfId="0" applyFont="1" applyBorder="1" applyAlignment="1">
      <alignment wrapText="1"/>
    </xf>
    <xf numFmtId="4" fontId="50" fillId="22" borderId="11" xfId="0" applyNumberFormat="1" applyFont="1" applyFill="1" applyBorder="1" applyAlignment="1">
      <alignment horizontal="center" vertical="center"/>
    </xf>
    <xf numFmtId="4" fontId="50" fillId="4" borderId="14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41" fontId="23" fillId="0" borderId="12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1" fontId="23" fillId="0" borderId="30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1" fontId="23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21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6" borderId="14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justify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174" fontId="1" fillId="26" borderId="14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174" fontId="0" fillId="26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3" xfId="0" applyFont="1" applyBorder="1" applyAlignment="1">
      <alignment horizontal="center" vertical="top" wrapText="1"/>
    </xf>
    <xf numFmtId="0" fontId="0" fillId="0" borderId="59" xfId="0" applyFont="1" applyBorder="1" applyAlignment="1">
      <alignment vertical="top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top" wrapText="1"/>
    </xf>
    <xf numFmtId="0" fontId="0" fillId="0" borderId="30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51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0" fontId="0" fillId="0" borderId="60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0" fillId="0" borderId="62" xfId="0" applyFont="1" applyBorder="1" applyAlignment="1">
      <alignment vertical="top"/>
    </xf>
    <xf numFmtId="4" fontId="0" fillId="0" borderId="11" xfId="54" applyNumberFormat="1" applyFont="1" applyBorder="1" applyAlignment="1">
      <alignment wrapText="1"/>
      <protection/>
    </xf>
    <xf numFmtId="4" fontId="0" fillId="0" borderId="11" xfId="54" applyNumberFormat="1" applyFont="1" applyFill="1" applyBorder="1" applyAlignment="1">
      <alignment wrapText="1"/>
      <protection/>
    </xf>
    <xf numFmtId="4" fontId="48" fillId="27" borderId="11" xfId="55" applyNumberFormat="1" applyFont="1" applyFill="1" applyBorder="1" applyAlignment="1">
      <alignment horizontal="center" vertical="center" wrapText="1"/>
      <protection/>
    </xf>
    <xf numFmtId="4" fontId="34" fillId="27" borderId="11" xfId="55" applyNumberFormat="1" applyFont="1" applyFill="1" applyBorder="1" applyAlignment="1">
      <alignment horizontal="center" vertical="center" wrapText="1"/>
      <protection/>
    </xf>
    <xf numFmtId="4" fontId="50" fillId="27" borderId="14" xfId="0" applyNumberFormat="1" applyFont="1" applyFill="1" applyBorder="1" applyAlignment="1">
      <alignment horizontal="center" vertical="center"/>
    </xf>
    <xf numFmtId="4" fontId="48" fillId="27" borderId="22" xfId="55" applyNumberFormat="1" applyFont="1" applyFill="1" applyBorder="1" applyAlignment="1">
      <alignment horizontal="center" vertical="center" wrapText="1"/>
      <protection/>
    </xf>
    <xf numFmtId="4" fontId="50" fillId="27" borderId="45" xfId="0" applyNumberFormat="1" applyFont="1" applyFill="1" applyBorder="1" applyAlignment="1">
      <alignment horizontal="center" vertical="center"/>
    </xf>
    <xf numFmtId="4" fontId="50" fillId="27" borderId="45" xfId="0" applyNumberFormat="1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45" fillId="0" borderId="28" xfId="0" applyFont="1" applyBorder="1" applyAlignment="1">
      <alignment horizontal="center" vertical="center"/>
    </xf>
    <xf numFmtId="4" fontId="45" fillId="22" borderId="28" xfId="0" applyNumberFormat="1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22" borderId="53" xfId="0" applyFont="1" applyFill="1" applyBorder="1" applyAlignment="1">
      <alignment horizontal="center" vertical="center" wrapText="1"/>
    </xf>
    <xf numFmtId="0" fontId="45" fillId="22" borderId="53" xfId="0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4" fontId="47" fillId="28" borderId="54" xfId="0" applyNumberFormat="1" applyFont="1" applyFill="1" applyBorder="1" applyAlignment="1">
      <alignment horizontal="center" vertical="center"/>
    </xf>
    <xf numFmtId="4" fontId="47" fillId="27" borderId="53" xfId="0" applyNumberFormat="1" applyFont="1" applyFill="1" applyBorder="1" applyAlignment="1">
      <alignment horizontal="center" vertical="center"/>
    </xf>
    <xf numFmtId="4" fontId="47" fillId="0" borderId="53" xfId="0" applyNumberFormat="1" applyFont="1" applyBorder="1" applyAlignment="1">
      <alignment horizontal="center" vertical="center"/>
    </xf>
    <xf numFmtId="4" fontId="47" fillId="27" borderId="44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" fontId="47" fillId="28" borderId="28" xfId="0" applyNumberFormat="1" applyFont="1" applyFill="1" applyBorder="1" applyAlignment="1">
      <alignment horizontal="center" vertical="center"/>
    </xf>
    <xf numFmtId="4" fontId="47" fillId="27" borderId="28" xfId="0" applyNumberFormat="1" applyFont="1" applyFill="1" applyBorder="1" applyAlignment="1">
      <alignment horizontal="center" vertical="center"/>
    </xf>
    <xf numFmtId="4" fontId="47" fillId="4" borderId="28" xfId="0" applyNumberFormat="1" applyFont="1" applyFill="1" applyBorder="1" applyAlignment="1">
      <alignment horizontal="center" vertical="center"/>
    </xf>
    <xf numFmtId="4" fontId="47" fillId="27" borderId="38" xfId="0" applyNumberFormat="1" applyFont="1" applyFill="1" applyBorder="1" applyAlignment="1">
      <alignment horizontal="center" vertical="center"/>
    </xf>
    <xf numFmtId="4" fontId="47" fillId="28" borderId="56" xfId="0" applyNumberFormat="1" applyFont="1" applyFill="1" applyBorder="1" applyAlignment="1">
      <alignment horizontal="center" vertical="center"/>
    </xf>
    <xf numFmtId="4" fontId="47" fillId="28" borderId="11" xfId="0" applyNumberFormat="1" applyFont="1" applyFill="1" applyBorder="1" applyAlignment="1">
      <alignment horizontal="center" vertical="center"/>
    </xf>
    <xf numFmtId="174" fontId="22" fillId="27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174" fontId="22" fillId="0" borderId="11" xfId="0" applyNumberFormat="1" applyFont="1" applyFill="1" applyBorder="1" applyAlignment="1">
      <alignment horizontal="center" vertical="center" wrapText="1"/>
    </xf>
    <xf numFmtId="4" fontId="22" fillId="27" borderId="22" xfId="0" applyNumberFormat="1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174" fontId="22" fillId="27" borderId="14" xfId="0" applyNumberFormat="1" applyFont="1" applyFill="1" applyBorder="1" applyAlignment="1">
      <alignment horizontal="center" vertical="center" wrapText="1"/>
    </xf>
    <xf numFmtId="174" fontId="22" fillId="0" borderId="14" xfId="0" applyNumberFormat="1" applyFont="1" applyFill="1" applyBorder="1" applyAlignment="1">
      <alignment horizontal="center" vertical="center" wrapText="1"/>
    </xf>
    <xf numFmtId="4" fontId="49" fillId="28" borderId="11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4" fontId="49" fillId="27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22" fillId="27" borderId="22" xfId="0" applyNumberFormat="1" applyFont="1" applyFill="1" applyBorder="1" applyAlignment="1">
      <alignment vertical="center" wrapText="1"/>
    </xf>
    <xf numFmtId="4" fontId="22" fillId="0" borderId="14" xfId="0" applyNumberFormat="1" applyFont="1" applyBorder="1" applyAlignment="1">
      <alignment horizontal="center" vertical="center"/>
    </xf>
    <xf numFmtId="4" fontId="22" fillId="27" borderId="45" xfId="0" applyNumberFormat="1" applyFont="1" applyFill="1" applyBorder="1" applyAlignment="1">
      <alignment vertical="center" wrapText="1"/>
    </xf>
    <xf numFmtId="4" fontId="47" fillId="27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" fontId="47" fillId="27" borderId="22" xfId="0" applyNumberFormat="1" applyFont="1" applyFill="1" applyBorder="1" applyAlignment="1">
      <alignment horizontal="center" vertical="center"/>
    </xf>
    <xf numFmtId="4" fontId="55" fillId="27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" fontId="55" fillId="27" borderId="22" xfId="0" applyNumberFormat="1" applyFont="1" applyFill="1" applyBorder="1" applyAlignment="1">
      <alignment vertical="center" wrapText="1"/>
    </xf>
    <xf numFmtId="4" fontId="22" fillId="27" borderId="22" xfId="0" applyNumberFormat="1" applyFont="1" applyFill="1" applyBorder="1" applyAlignment="1">
      <alignment wrapText="1"/>
    </xf>
    <xf numFmtId="4" fontId="55" fillId="27" borderId="11" xfId="0" applyNumberFormat="1" applyFont="1" applyFill="1" applyBorder="1" applyAlignment="1">
      <alignment horizontal="center" vertical="center"/>
    </xf>
    <xf numFmtId="4" fontId="55" fillId="4" borderId="11" xfId="0" applyNumberFormat="1" applyFont="1" applyFill="1" applyBorder="1" applyAlignment="1">
      <alignment horizontal="center" vertical="center"/>
    </xf>
    <xf numFmtId="4" fontId="55" fillId="27" borderId="22" xfId="0" applyNumberFormat="1" applyFont="1" applyFill="1" applyBorder="1" applyAlignment="1">
      <alignment horizontal="center" vertical="center"/>
    </xf>
    <xf numFmtId="4" fontId="22" fillId="27" borderId="11" xfId="0" applyNumberFormat="1" applyFont="1" applyFill="1" applyBorder="1" applyAlignment="1">
      <alignment horizontal="center" vertical="center"/>
    </xf>
    <xf numFmtId="4" fontId="55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55" fillId="27" borderId="22" xfId="0" applyNumberFormat="1" applyFont="1" applyFill="1" applyBorder="1" applyAlignment="1">
      <alignment wrapText="1"/>
    </xf>
    <xf numFmtId="174" fontId="22" fillId="24" borderId="14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/>
    </xf>
    <xf numFmtId="174" fontId="22" fillId="0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right"/>
    </xf>
    <xf numFmtId="0" fontId="22" fillId="27" borderId="11" xfId="0" applyFont="1" applyFill="1" applyBorder="1" applyAlignment="1">
      <alignment/>
    </xf>
    <xf numFmtId="174" fontId="22" fillId="27" borderId="22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4" fontId="47" fillId="28" borderId="18" xfId="0" applyNumberFormat="1" applyFont="1" applyFill="1" applyBorder="1" applyAlignment="1">
      <alignment horizontal="center" vertical="center"/>
    </xf>
    <xf numFmtId="4" fontId="48" fillId="28" borderId="11" xfId="55" applyNumberFormat="1" applyFont="1" applyFill="1" applyBorder="1" applyAlignment="1">
      <alignment horizontal="center" vertical="center" wrapText="1"/>
      <protection/>
    </xf>
    <xf numFmtId="4" fontId="55" fillId="28" borderId="11" xfId="0" applyNumberFormat="1" applyFont="1" applyFill="1" applyBorder="1" applyAlignment="1">
      <alignment horizontal="center" vertical="center"/>
    </xf>
    <xf numFmtId="4" fontId="50" fillId="28" borderId="14" xfId="0" applyNumberFormat="1" applyFont="1" applyFill="1" applyBorder="1" applyAlignment="1">
      <alignment horizontal="center" vertical="center"/>
    </xf>
    <xf numFmtId="4" fontId="50" fillId="28" borderId="45" xfId="0" applyNumberFormat="1" applyFont="1" applyFill="1" applyBorder="1" applyAlignment="1">
      <alignment vertical="center"/>
    </xf>
    <xf numFmtId="4" fontId="22" fillId="28" borderId="11" xfId="0" applyNumberFormat="1" applyFont="1" applyFill="1" applyBorder="1" applyAlignment="1">
      <alignment horizontal="center" vertical="center"/>
    </xf>
    <xf numFmtId="4" fontId="48" fillId="29" borderId="11" xfId="55" applyNumberFormat="1" applyFont="1" applyFill="1" applyBorder="1" applyAlignment="1">
      <alignment horizontal="center" vertical="center" wrapText="1"/>
      <protection/>
    </xf>
    <xf numFmtId="4" fontId="50" fillId="29" borderId="45" xfId="0" applyNumberFormat="1" applyFont="1" applyFill="1" applyBorder="1" applyAlignment="1">
      <alignment vertical="center"/>
    </xf>
    <xf numFmtId="4" fontId="47" fillId="29" borderId="21" xfId="0" applyNumberFormat="1" applyFont="1" applyFill="1" applyBorder="1" applyAlignment="1">
      <alignment horizontal="center" vertical="center"/>
    </xf>
    <xf numFmtId="4" fontId="47" fillId="29" borderId="38" xfId="0" applyNumberFormat="1" applyFont="1" applyFill="1" applyBorder="1" applyAlignment="1">
      <alignment horizontal="center" vertical="center"/>
    </xf>
    <xf numFmtId="4" fontId="48" fillId="29" borderId="22" xfId="55" applyNumberFormat="1" applyFont="1" applyFill="1" applyBorder="1" applyAlignment="1">
      <alignment horizontal="center" vertical="center" wrapText="1"/>
      <protection/>
    </xf>
    <xf numFmtId="0" fontId="22" fillId="29" borderId="22" xfId="0" applyFont="1" applyFill="1" applyBorder="1" applyAlignment="1">
      <alignment/>
    </xf>
    <xf numFmtId="4" fontId="55" fillId="29" borderId="22" xfId="0" applyNumberFormat="1" applyFont="1" applyFill="1" applyBorder="1" applyAlignment="1">
      <alignment horizontal="center" vertical="center"/>
    </xf>
    <xf numFmtId="4" fontId="50" fillId="29" borderId="45" xfId="0" applyNumberFormat="1" applyFont="1" applyFill="1" applyBorder="1" applyAlignment="1">
      <alignment horizontal="center" vertical="center"/>
    </xf>
    <xf numFmtId="4" fontId="56" fillId="29" borderId="22" xfId="0" applyNumberFormat="1" applyFont="1" applyFill="1" applyBorder="1" applyAlignment="1">
      <alignment vertical="center" wrapText="1"/>
    </xf>
    <xf numFmtId="0" fontId="0" fillId="26" borderId="11" xfId="0" applyFont="1" applyFill="1" applyBorder="1" applyAlignment="1">
      <alignment horizontal="left" vertical="center" wrapText="1"/>
    </xf>
    <xf numFmtId="4" fontId="45" fillId="26" borderId="0" xfId="0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174" fontId="0" fillId="26" borderId="0" xfId="0" applyNumberFormat="1" applyFont="1" applyFill="1" applyBorder="1" applyAlignment="1">
      <alignment horizontal="center" vertical="center" wrapText="1"/>
    </xf>
    <xf numFmtId="4" fontId="47" fillId="26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/>
    </xf>
    <xf numFmtId="174" fontId="22" fillId="26" borderId="22" xfId="0" applyNumberFormat="1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center" vertical="center"/>
    </xf>
    <xf numFmtId="4" fontId="56" fillId="26" borderId="22" xfId="0" applyNumberFormat="1" applyFont="1" applyFill="1" applyBorder="1" applyAlignment="1">
      <alignment vertical="center" wrapText="1"/>
    </xf>
    <xf numFmtId="0" fontId="0" fillId="26" borderId="11" xfId="0" applyFill="1" applyBorder="1" applyAlignment="1">
      <alignment/>
    </xf>
    <xf numFmtId="4" fontId="22" fillId="27" borderId="22" xfId="0" applyNumberFormat="1" applyFont="1" applyFill="1" applyBorder="1" applyAlignment="1">
      <alignment horizontal="center" vertical="center" wrapText="1"/>
    </xf>
    <xf numFmtId="4" fontId="50" fillId="29" borderId="11" xfId="0" applyNumberFormat="1" applyFont="1" applyFill="1" applyBorder="1" applyAlignment="1">
      <alignment vertical="center"/>
    </xf>
    <xf numFmtId="4" fontId="6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5" xfId="0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63" xfId="0" applyNumberFormat="1" applyBorder="1" applyAlignment="1">
      <alignment/>
    </xf>
    <xf numFmtId="4" fontId="0" fillId="0" borderId="57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55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22" fillId="26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9" fontId="62" fillId="0" borderId="47" xfId="0" applyNumberFormat="1" applyFont="1" applyBorder="1" applyAlignment="1">
      <alignment/>
    </xf>
    <xf numFmtId="4" fontId="61" fillId="0" borderId="57" xfId="0" applyNumberFormat="1" applyFont="1" applyBorder="1" applyAlignment="1">
      <alignment/>
    </xf>
    <xf numFmtId="0" fontId="61" fillId="0" borderId="14" xfId="0" applyFont="1" applyBorder="1" applyAlignment="1">
      <alignment/>
    </xf>
    <xf numFmtId="4" fontId="61" fillId="0" borderId="45" xfId="0" applyNumberFormat="1" applyFont="1" applyBorder="1" applyAlignment="1">
      <alignment/>
    </xf>
    <xf numFmtId="4" fontId="61" fillId="0" borderId="33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9" fontId="62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22" fillId="30" borderId="11" xfId="0" applyFont="1" applyFill="1" applyBorder="1" applyAlignment="1">
      <alignment horizontal="center" vertical="center"/>
    </xf>
    <xf numFmtId="4" fontId="45" fillId="22" borderId="0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/>
    </xf>
    <xf numFmtId="174" fontId="0" fillId="2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0" fillId="26" borderId="11" xfId="54" applyNumberFormat="1" applyFont="1" applyFill="1" applyBorder="1" applyAlignment="1">
      <alignment wrapText="1"/>
      <protection/>
    </xf>
    <xf numFmtId="4" fontId="49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1" fillId="30" borderId="13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174" fontId="1" fillId="30" borderId="11" xfId="0" applyNumberFormat="1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0" fillId="30" borderId="11" xfId="0" applyFont="1" applyFill="1" applyBorder="1" applyAlignment="1">
      <alignment/>
    </xf>
    <xf numFmtId="0" fontId="37" fillId="3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vertical="top"/>
    </xf>
    <xf numFmtId="0" fontId="0" fillId="0" borderId="6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79" fontId="0" fillId="26" borderId="63" xfId="65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" fontId="1" fillId="26" borderId="13" xfId="0" applyNumberFormat="1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center" vertical="center" wrapText="1"/>
    </xf>
    <xf numFmtId="174" fontId="1" fillId="26" borderId="63" xfId="0" applyNumberFormat="1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174" fontId="0" fillId="26" borderId="11" xfId="0" applyNumberFormat="1" applyFont="1" applyFill="1" applyBorder="1" applyAlignment="1">
      <alignment horizontal="center" vertical="center" wrapText="1"/>
    </xf>
    <xf numFmtId="174" fontId="0" fillId="26" borderId="63" xfId="0" applyNumberFormat="1" applyFont="1" applyFill="1" applyBorder="1" applyAlignment="1">
      <alignment horizontal="center" vertical="center" wrapText="1"/>
    </xf>
    <xf numFmtId="179" fontId="0" fillId="26" borderId="11" xfId="0" applyNumberFormat="1" applyFont="1" applyFill="1" applyBorder="1" applyAlignment="1">
      <alignment horizontal="center" vertical="center" wrapText="1"/>
    </xf>
    <xf numFmtId="10" fontId="0" fillId="26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174" fontId="0" fillId="0" borderId="6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74" fontId="0" fillId="31" borderId="1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4" fontId="0" fillId="30" borderId="11" xfId="0" applyNumberFormat="1" applyFont="1" applyFill="1" applyBorder="1" applyAlignment="1">
      <alignment horizontal="center" vertical="center" wrapText="1"/>
    </xf>
    <xf numFmtId="0" fontId="0" fillId="26" borderId="65" xfId="0" applyFont="1" applyFill="1" applyBorder="1" applyAlignment="1">
      <alignment horizontal="center" vertical="center" wrapText="1"/>
    </xf>
    <xf numFmtId="0" fontId="0" fillId="26" borderId="63" xfId="0" applyFont="1" applyFill="1" applyBorder="1" applyAlignment="1">
      <alignment horizontal="left" vertical="center" wrapText="1"/>
    </xf>
    <xf numFmtId="174" fontId="1" fillId="30" borderId="6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4" fontId="61" fillId="0" borderId="11" xfId="0" applyNumberFormat="1" applyFont="1" applyFill="1" applyBorder="1" applyAlignment="1">
      <alignment horizontal="center" vertical="center" wrapText="1"/>
    </xf>
    <xf numFmtId="174" fontId="4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3" fillId="4" borderId="11" xfId="0" applyFont="1" applyFill="1" applyBorder="1" applyAlignment="1">
      <alignment horizontal="center" vertical="center" wrapText="1"/>
    </xf>
    <xf numFmtId="174" fontId="63" fillId="4" borderId="14" xfId="0" applyNumberFormat="1" applyFont="1" applyFill="1" applyBorder="1" applyAlignment="1">
      <alignment horizontal="center" vertical="center" wrapText="1"/>
    </xf>
    <xf numFmtId="174" fontId="63" fillId="7" borderId="11" xfId="0" applyNumberFormat="1" applyFont="1" applyFill="1" applyBorder="1" applyAlignment="1">
      <alignment horizontal="center" vertical="center" wrapText="1"/>
    </xf>
    <xf numFmtId="174" fontId="63" fillId="30" borderId="11" xfId="0" applyNumberFormat="1" applyFont="1" applyFill="1" applyBorder="1" applyAlignment="1">
      <alignment horizontal="center" vertical="center" wrapText="1"/>
    </xf>
    <xf numFmtId="174" fontId="63" fillId="22" borderId="11" xfId="0" applyNumberFormat="1" applyFont="1" applyFill="1" applyBorder="1" applyAlignment="1">
      <alignment horizontal="center" vertical="center" wrapText="1"/>
    </xf>
    <xf numFmtId="174" fontId="63" fillId="26" borderId="63" xfId="0" applyNumberFormat="1" applyFont="1" applyFill="1" applyBorder="1" applyAlignment="1">
      <alignment horizontal="center" vertical="center" wrapText="1"/>
    </xf>
    <xf numFmtId="174" fontId="61" fillId="26" borderId="11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/>
    </xf>
    <xf numFmtId="174" fontId="1" fillId="0" borderId="63" xfId="0" applyNumberFormat="1" applyFont="1" applyFill="1" applyBorder="1" applyAlignment="1">
      <alignment horizontal="center" vertical="center" wrapText="1"/>
    </xf>
    <xf numFmtId="174" fontId="64" fillId="0" borderId="11" xfId="0" applyNumberFormat="1" applyFont="1" applyFill="1" applyBorder="1" applyAlignment="1">
      <alignment horizontal="center" vertical="center" wrapText="1"/>
    </xf>
    <xf numFmtId="174" fontId="64" fillId="0" borderId="63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66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0" xfId="55" applyNumberFormat="1" applyFont="1" applyFill="1" applyBorder="1" applyAlignment="1">
      <alignment horizontal="left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2" fillId="0" borderId="0" xfId="63" applyNumberFormat="1" applyFont="1" applyFill="1" applyBorder="1" applyAlignment="1" applyProtection="1">
      <alignment horizontal="left" vertical="top"/>
      <protection/>
    </xf>
    <xf numFmtId="0" fontId="4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7" borderId="61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38" fillId="7" borderId="34" xfId="0" applyFont="1" applyFill="1" applyBorder="1" applyAlignment="1">
      <alignment horizontal="center" vertical="center" wrapText="1"/>
    </xf>
    <xf numFmtId="0" fontId="1" fillId="7" borderId="67" xfId="0" applyFont="1" applyFill="1" applyBorder="1" applyAlignment="1">
      <alignment horizontal="center" vertical="center" wrapText="1"/>
    </xf>
    <xf numFmtId="0" fontId="1" fillId="7" borderId="68" xfId="0" applyFont="1" applyFill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58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38" fillId="7" borderId="48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63" applyNumberFormat="1" applyFont="1" applyFill="1" applyBorder="1" applyAlignment="1" applyProtection="1">
      <alignment horizontal="left" vertical="top"/>
      <protection/>
    </xf>
    <xf numFmtId="0" fontId="40" fillId="0" borderId="0" xfId="0" applyFont="1" applyFill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textRotation="90"/>
    </xf>
    <xf numFmtId="0" fontId="41" fillId="0" borderId="50" xfId="0" applyFont="1" applyBorder="1" applyAlignment="1">
      <alignment horizontal="center" vertical="center" textRotation="90"/>
    </xf>
    <xf numFmtId="0" fontId="41" fillId="0" borderId="28" xfId="0" applyFont="1" applyBorder="1" applyAlignment="1">
      <alignment horizontal="center" vertical="center" textRotation="90"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61" xfId="0" applyNumberFormat="1" applyFont="1" applyFill="1" applyBorder="1" applyAlignment="1">
      <alignment horizontal="center" vertical="center" wrapText="1"/>
    </xf>
    <xf numFmtId="0" fontId="1" fillId="4" borderId="50" xfId="0" applyNumberFormat="1" applyFont="1" applyFill="1" applyBorder="1" applyAlignment="1">
      <alignment horizontal="center" vertical="center" wrapText="1"/>
    </xf>
    <xf numFmtId="0" fontId="1" fillId="4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9" fillId="0" borderId="58" xfId="55" applyNumberFormat="1" applyFont="1" applyFill="1" applyBorder="1" applyAlignment="1">
      <alignment horizontal="left" wrapText="1"/>
      <protection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" fillId="4" borderId="4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38" fillId="4" borderId="22" xfId="0" applyFont="1" applyFill="1" applyBorder="1" applyAlignment="1">
      <alignment horizontal="center" vertical="center" wrapText="1"/>
    </xf>
    <xf numFmtId="0" fontId="38" fillId="4" borderId="20" xfId="0" applyFont="1" applyFill="1" applyBorder="1" applyAlignment="1">
      <alignment horizontal="center" vertical="center" wrapText="1"/>
    </xf>
    <xf numFmtId="0" fontId="38" fillId="4" borderId="6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4" borderId="22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9" fontId="34" fillId="0" borderId="0" xfId="54" applyNumberFormat="1" applyFont="1" applyAlignment="1">
      <alignment horizontal="left" wrapText="1"/>
      <protection/>
    </xf>
    <xf numFmtId="169" fontId="0" fillId="0" borderId="22" xfId="54" applyNumberFormat="1" applyFont="1" applyBorder="1" applyAlignment="1">
      <alignment horizontal="center" wrapText="1"/>
      <protection/>
    </xf>
    <xf numFmtId="169" fontId="0" fillId="0" borderId="63" xfId="54" applyNumberFormat="1" applyFont="1" applyBorder="1" applyAlignment="1">
      <alignment horizontal="center" wrapText="1"/>
      <protection/>
    </xf>
    <xf numFmtId="169" fontId="25" fillId="20" borderId="11" xfId="54" applyNumberFormat="1" applyFont="1" applyFill="1" applyBorder="1" applyAlignment="1">
      <alignment horizontal="center" wrapText="1"/>
      <protection/>
    </xf>
    <xf numFmtId="169" fontId="0" fillId="0" borderId="11" xfId="54" applyNumberFormat="1" applyFont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4" fontId="1" fillId="7" borderId="11" xfId="0" applyNumberFormat="1" applyFont="1" applyFill="1" applyBorder="1" applyAlignment="1">
      <alignment vertical="center"/>
    </xf>
    <xf numFmtId="174" fontId="1" fillId="7" borderId="12" xfId="0" applyNumberFormat="1" applyFont="1" applyFill="1" applyBorder="1" applyAlignment="1">
      <alignment vertical="center"/>
    </xf>
    <xf numFmtId="174" fontId="1" fillId="7" borderId="28" xfId="0" applyNumberFormat="1" applyFont="1" applyFill="1" applyBorder="1" applyAlignment="1">
      <alignment vertical="center" wrapText="1"/>
    </xf>
    <xf numFmtId="174" fontId="1" fillId="7" borderId="49" xfId="0" applyNumberFormat="1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Обычный_инвестиционная программа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134"/>
  <sheetViews>
    <sheetView zoomScale="85" zoomScaleNormal="85" zoomScalePageLayoutView="0" workbookViewId="0" topLeftCell="A94">
      <selection activeCell="A12" sqref="A12"/>
    </sheetView>
  </sheetViews>
  <sheetFormatPr defaultColWidth="9.00390625" defaultRowHeight="15.75"/>
  <cols>
    <col min="1" max="1" width="33.125" style="0" customWidth="1"/>
    <col min="2" max="2" width="11.25390625" style="0" hidden="1" customWidth="1"/>
    <col min="3" max="3" width="15.625" style="0" hidden="1" customWidth="1"/>
    <col min="4" max="4" width="13.625" style="0" hidden="1" customWidth="1"/>
    <col min="5" max="5" width="19.75390625" style="0" customWidth="1"/>
    <col min="6" max="6" width="17.625" style="0" customWidth="1"/>
    <col min="7" max="7" width="11.625" style="0" hidden="1" customWidth="1"/>
    <col min="8" max="9" width="11.625" style="0" customWidth="1"/>
    <col min="10" max="10" width="13.875" style="0" customWidth="1"/>
    <col min="11" max="11" width="17.25390625" style="0" customWidth="1"/>
    <col min="12" max="12" width="18.75390625" style="0" customWidth="1"/>
    <col min="13" max="13" width="17.00390625" style="0" customWidth="1"/>
    <col min="14" max="14" width="13.375" style="0" customWidth="1"/>
    <col min="15" max="15" width="12.25390625" style="0" customWidth="1"/>
    <col min="16" max="16" width="12.125" style="0" customWidth="1"/>
    <col min="19" max="19" width="9.375" style="0" bestFit="1" customWidth="1"/>
  </cols>
  <sheetData>
    <row r="1" spans="1:15" ht="15.75" customHeight="1">
      <c r="A1" s="889" t="s">
        <v>42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</row>
    <row r="2" spans="1:15" ht="29.25" customHeight="1">
      <c r="A2" s="890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</row>
    <row r="3" spans="1:16" ht="29.25" customHeight="1">
      <c r="A3" s="700"/>
      <c r="B3" s="700"/>
      <c r="C3" s="700"/>
      <c r="D3" s="700"/>
      <c r="E3" s="891" t="s">
        <v>339</v>
      </c>
      <c r="F3" s="892"/>
      <c r="G3" s="892"/>
      <c r="H3" s="892"/>
      <c r="I3" s="892"/>
      <c r="J3" s="893"/>
      <c r="K3" s="891" t="s">
        <v>340</v>
      </c>
      <c r="L3" s="892"/>
      <c r="M3" s="892"/>
      <c r="N3" s="892"/>
      <c r="O3" s="892"/>
      <c r="P3" s="893"/>
    </row>
    <row r="4" spans="1:16" ht="63" customHeight="1" thickBot="1">
      <c r="A4" s="694" t="s">
        <v>382</v>
      </c>
      <c r="B4" s="695" t="s">
        <v>168</v>
      </c>
      <c r="C4" s="695" t="s">
        <v>169</v>
      </c>
      <c r="D4" s="696" t="s">
        <v>170</v>
      </c>
      <c r="E4" s="697" t="s">
        <v>309</v>
      </c>
      <c r="F4" s="698" t="s">
        <v>172</v>
      </c>
      <c r="G4" s="699" t="s">
        <v>383</v>
      </c>
      <c r="H4" s="698" t="s">
        <v>753</v>
      </c>
      <c r="I4" s="698" t="s">
        <v>751</v>
      </c>
      <c r="J4" s="702" t="s">
        <v>752</v>
      </c>
      <c r="K4" s="697" t="s">
        <v>309</v>
      </c>
      <c r="L4" s="698" t="s">
        <v>172</v>
      </c>
      <c r="M4" s="703" t="s">
        <v>753</v>
      </c>
      <c r="N4" s="703" t="s">
        <v>751</v>
      </c>
      <c r="O4" s="701" t="s">
        <v>752</v>
      </c>
      <c r="P4" s="702" t="s">
        <v>149</v>
      </c>
    </row>
    <row r="5" spans="1:16" ht="18.75" customHeight="1" thickBot="1">
      <c r="A5" s="692" t="s">
        <v>384</v>
      </c>
      <c r="B5" s="693">
        <f>SUM(C5:D5)</f>
        <v>108071.73959999999</v>
      </c>
      <c r="C5" s="693">
        <f>C6+C27+C33</f>
        <v>96271.73959999999</v>
      </c>
      <c r="D5" s="693">
        <f>D6+D27+D33+D39</f>
        <v>11800</v>
      </c>
      <c r="E5" s="704">
        <f>SUM(F5,J5)</f>
        <v>91586.22</v>
      </c>
      <c r="F5" s="705">
        <f>F6+F27+F33+F39</f>
        <v>81586.22</v>
      </c>
      <c r="G5" s="706">
        <f>G6+G27+G33+G39</f>
        <v>0</v>
      </c>
      <c r="H5" s="706">
        <f>H6+H27+H33+H39</f>
        <v>47584.326</v>
      </c>
      <c r="I5" s="706">
        <f>I6+I27+I33+I39</f>
        <v>34001.884</v>
      </c>
      <c r="J5" s="707">
        <f>J6+J27+J33+J39</f>
        <v>10000</v>
      </c>
      <c r="K5" s="754">
        <f>SUM(M5:O5)</f>
        <v>77695.03000000001</v>
      </c>
      <c r="L5" s="705">
        <f>L6+L27+L33+L39</f>
        <v>74948.4</v>
      </c>
      <c r="M5" s="708">
        <f>M6+M27+M33+M39</f>
        <v>45404.41</v>
      </c>
      <c r="N5" s="708">
        <f>N6+N27+N33+N39</f>
        <v>31195.02</v>
      </c>
      <c r="O5" s="762">
        <f>O6+O27+O33+O39</f>
        <v>1095.6</v>
      </c>
      <c r="P5" s="762">
        <f>P6+P27+P33+P39</f>
        <v>10737.24</v>
      </c>
    </row>
    <row r="6" spans="1:16" ht="27" customHeight="1" thickBot="1">
      <c r="A6" s="405" t="s">
        <v>561</v>
      </c>
      <c r="B6" s="520">
        <f>B7+B13+B19+B24+B25+B26+B22+B23</f>
        <v>83872.83059999999</v>
      </c>
      <c r="C6" s="520">
        <f>C7+C13+C19+C24+C25+C26+C22+C23</f>
        <v>83872.83059999999</v>
      </c>
      <c r="D6" s="520">
        <f>D7+D13+D19+D24+D25+D26+D22</f>
        <v>0</v>
      </c>
      <c r="E6" s="709">
        <f>SUM(F6,J6)</f>
        <v>71078.67</v>
      </c>
      <c r="F6" s="710">
        <f>F7+F13+F19+F24+F25+F26+F22+F23</f>
        <v>71078.67</v>
      </c>
      <c r="G6" s="711">
        <f>G7+G13+G19+G24</f>
        <v>0</v>
      </c>
      <c r="H6" s="711">
        <f>H7+H13+H19+H24+H25+H26+H22+H23</f>
        <v>47584.326</v>
      </c>
      <c r="I6" s="711">
        <f>I7+I13+I19+I24+I25+I26+I22+I23</f>
        <v>23494.334</v>
      </c>
      <c r="J6" s="712">
        <f>J7+J13+J19+J24</f>
        <v>0</v>
      </c>
      <c r="K6" s="754">
        <f>SUM(M6:O6)</f>
        <v>54728.73</v>
      </c>
      <c r="L6" s="710">
        <f>SUM(M6:N6)</f>
        <v>54728.73</v>
      </c>
      <c r="M6" s="711">
        <f>M7+M13+M19+M24+M25+M26+M22+M23</f>
        <v>45404.41</v>
      </c>
      <c r="N6" s="711">
        <f>N7+N13+N19+N24+N25+N26+N22+N23</f>
        <v>9324.320000000002</v>
      </c>
      <c r="O6" s="763">
        <f>O7+O13+O19+O24+O25+O26+O22+O23</f>
        <v>0</v>
      </c>
      <c r="P6" s="763">
        <f>P7+P13+P19+P24+P25+P26+P22+P23</f>
        <v>0</v>
      </c>
    </row>
    <row r="7" spans="1:16" ht="27" thickBot="1">
      <c r="A7" s="397" t="s">
        <v>550</v>
      </c>
      <c r="B7" s="520">
        <f>SUM(C7:D7)</f>
        <v>6268.513999999999</v>
      </c>
      <c r="C7" s="520">
        <f>SUM(C8:C11)</f>
        <v>6268.513999999999</v>
      </c>
      <c r="D7" s="520">
        <f>SUM(D8:D11)</f>
        <v>0</v>
      </c>
      <c r="E7" s="714">
        <f aca="true" t="shared" si="0" ref="E7:E13">F7+J7</f>
        <v>5312.299999999999</v>
      </c>
      <c r="F7" s="685">
        <f>SUM(F8:F11)</f>
        <v>5312.299999999999</v>
      </c>
      <c r="G7" s="398">
        <f>SUM(G8:G11)</f>
        <v>0</v>
      </c>
      <c r="H7" s="398">
        <f>SUM(H8:H11)</f>
        <v>5312.299999999999</v>
      </c>
      <c r="I7" s="398">
        <f>SUM(I8:I11)</f>
        <v>0</v>
      </c>
      <c r="J7" s="688">
        <f>SUM(J8:J11)</f>
        <v>0</v>
      </c>
      <c r="K7" s="754">
        <f>SUM(K8:K12)</f>
        <v>4291.240000000001</v>
      </c>
      <c r="L7" s="710">
        <f>SUM(L8:L12)</f>
        <v>4291.240000000001</v>
      </c>
      <c r="M7" s="398">
        <f>SUM(M8:M12)</f>
        <v>4291.240000000001</v>
      </c>
      <c r="N7" s="398">
        <f>SUM(N8:N11)</f>
        <v>0</v>
      </c>
      <c r="O7" s="764">
        <f>SUM(O8:O11)</f>
        <v>0</v>
      </c>
      <c r="P7" s="445"/>
    </row>
    <row r="8" spans="1:19" ht="31.5">
      <c r="A8" s="206" t="s">
        <v>551</v>
      </c>
      <c r="B8" s="520">
        <f aca="true" t="shared" si="1" ref="B8:B26">SUM(C8:D8)</f>
        <v>997.0173999999998</v>
      </c>
      <c r="C8" s="522">
        <f>F8*1.18</f>
        <v>997.0173999999998</v>
      </c>
      <c r="D8" s="523"/>
      <c r="E8" s="714">
        <f t="shared" si="0"/>
        <v>844.93</v>
      </c>
      <c r="F8" s="715">
        <v>844.93</v>
      </c>
      <c r="G8" s="716"/>
      <c r="H8" s="717">
        <v>844.93</v>
      </c>
      <c r="I8" s="716"/>
      <c r="J8" s="718"/>
      <c r="K8" s="759">
        <f aca="true" t="shared" si="2" ref="K8:K21">SUM(M8:O8)</f>
        <v>467.98</v>
      </c>
      <c r="L8" s="715">
        <f>SUM(M8:N8)</f>
        <v>467.98</v>
      </c>
      <c r="M8" s="716">
        <v>467.98</v>
      </c>
      <c r="N8" s="720"/>
      <c r="O8" s="765"/>
      <c r="P8" s="445"/>
      <c r="S8" s="395"/>
    </row>
    <row r="9" spans="1:19" ht="31.5">
      <c r="A9" s="206" t="s">
        <v>552</v>
      </c>
      <c r="B9" s="520">
        <f t="shared" si="1"/>
        <v>2334.8306</v>
      </c>
      <c r="C9" s="522">
        <f aca="true" t="shared" si="3" ref="C9:C38">F9*1.18</f>
        <v>2334.8306</v>
      </c>
      <c r="D9" s="523"/>
      <c r="E9" s="714">
        <f t="shared" si="0"/>
        <v>1978.67</v>
      </c>
      <c r="F9" s="721">
        <v>1978.67</v>
      </c>
      <c r="G9" s="716"/>
      <c r="H9" s="722">
        <v>1978.67</v>
      </c>
      <c r="I9" s="716"/>
      <c r="J9" s="718"/>
      <c r="K9" s="759">
        <f t="shared" si="2"/>
        <v>1594.58</v>
      </c>
      <c r="L9" s="715">
        <f>SUM(M9:N9)</f>
        <v>1594.58</v>
      </c>
      <c r="M9" s="716">
        <v>1594.58</v>
      </c>
      <c r="N9" s="719"/>
      <c r="O9" s="765"/>
      <c r="P9" s="445"/>
      <c r="S9" s="395"/>
    </row>
    <row r="10" spans="1:19" ht="31.5">
      <c r="A10" s="206" t="s">
        <v>553</v>
      </c>
      <c r="B10" s="520">
        <f t="shared" si="1"/>
        <v>2936.6659999999997</v>
      </c>
      <c r="C10" s="522">
        <f t="shared" si="3"/>
        <v>2936.6659999999997</v>
      </c>
      <c r="D10" s="523"/>
      <c r="E10" s="714">
        <f t="shared" si="0"/>
        <v>2488.7</v>
      </c>
      <c r="F10" s="721">
        <v>2488.7</v>
      </c>
      <c r="G10" s="716"/>
      <c r="H10" s="722">
        <v>2488.7</v>
      </c>
      <c r="I10" s="716"/>
      <c r="J10" s="718"/>
      <c r="K10" s="759">
        <f t="shared" si="2"/>
        <v>2216.13</v>
      </c>
      <c r="L10" s="715">
        <f>SUM(M10:N10)</f>
        <v>2216.13</v>
      </c>
      <c r="M10" s="716">
        <v>2216.13</v>
      </c>
      <c r="N10" s="720"/>
      <c r="O10" s="765"/>
      <c r="P10" s="445"/>
      <c r="S10" s="395"/>
    </row>
    <row r="11" spans="1:19" ht="31.5">
      <c r="A11" s="206" t="s">
        <v>422</v>
      </c>
      <c r="B11" s="520">
        <f t="shared" si="1"/>
        <v>0</v>
      </c>
      <c r="C11" s="522">
        <f t="shared" si="3"/>
        <v>0</v>
      </c>
      <c r="D11" s="523"/>
      <c r="E11" s="714">
        <f t="shared" si="0"/>
        <v>0</v>
      </c>
      <c r="F11" s="721">
        <v>0</v>
      </c>
      <c r="G11" s="716"/>
      <c r="H11" s="722">
        <v>0</v>
      </c>
      <c r="I11" s="716"/>
      <c r="J11" s="718"/>
      <c r="K11" s="759">
        <f t="shared" si="2"/>
        <v>0</v>
      </c>
      <c r="L11" s="715">
        <f>SUM(M11:N11)</f>
        <v>0</v>
      </c>
      <c r="M11" s="716">
        <v>0</v>
      </c>
      <c r="N11" s="720"/>
      <c r="O11" s="765"/>
      <c r="P11" s="445"/>
      <c r="S11" s="781"/>
    </row>
    <row r="12" spans="1:16" ht="31.5">
      <c r="A12" s="207" t="s">
        <v>703</v>
      </c>
      <c r="B12" s="520">
        <f t="shared" si="1"/>
        <v>0</v>
      </c>
      <c r="C12" s="522">
        <f t="shared" si="3"/>
        <v>0</v>
      </c>
      <c r="D12" s="523"/>
      <c r="E12" s="714">
        <f t="shared" si="0"/>
        <v>0</v>
      </c>
      <c r="F12" s="721">
        <v>0</v>
      </c>
      <c r="G12" s="716"/>
      <c r="H12" s="722">
        <v>0</v>
      </c>
      <c r="I12" s="716"/>
      <c r="J12" s="718"/>
      <c r="K12" s="759">
        <f t="shared" si="2"/>
        <v>12.55</v>
      </c>
      <c r="L12" s="715">
        <v>12.55</v>
      </c>
      <c r="M12" s="716">
        <v>12.55</v>
      </c>
      <c r="N12" s="720"/>
      <c r="O12" s="765"/>
      <c r="P12" s="445"/>
    </row>
    <row r="13" spans="1:16" ht="18.75" customHeight="1">
      <c r="A13" s="428" t="s">
        <v>554</v>
      </c>
      <c r="B13" s="520">
        <f t="shared" si="1"/>
        <v>14777.9306</v>
      </c>
      <c r="C13" s="521">
        <f>SUM(C14:C18)</f>
        <v>14777.9306</v>
      </c>
      <c r="D13" s="521">
        <f>SUM(D14:D18)</f>
        <v>0</v>
      </c>
      <c r="E13" s="714">
        <f t="shared" si="0"/>
        <v>12523.67</v>
      </c>
      <c r="F13" s="685">
        <f>SUM(F14:F18)</f>
        <v>12523.67</v>
      </c>
      <c r="G13" s="401">
        <f>SUM(G14:G18)</f>
        <v>0</v>
      </c>
      <c r="H13" s="401">
        <f>SUM(H14:H18)</f>
        <v>12523.67</v>
      </c>
      <c r="I13" s="401">
        <f>SUM(I14:I18)</f>
        <v>0</v>
      </c>
      <c r="J13" s="688">
        <f>SUM(J14:J18)</f>
        <v>0</v>
      </c>
      <c r="K13" s="755">
        <f t="shared" si="2"/>
        <v>9020.130000000001</v>
      </c>
      <c r="L13" s="685">
        <f>SUM(L14:L18)</f>
        <v>9020.130000000001</v>
      </c>
      <c r="M13" s="401">
        <f>SUM(M14:M18)</f>
        <v>9020.130000000001</v>
      </c>
      <c r="N13" s="401">
        <f>SUM(N14:N18)</f>
        <v>0</v>
      </c>
      <c r="O13" s="764">
        <f>SUM(O14:O18)</f>
        <v>0</v>
      </c>
      <c r="P13" s="760">
        <f>SUM(P14:P18)</f>
        <v>0</v>
      </c>
    </row>
    <row r="14" spans="1:16" ht="15.75">
      <c r="A14" s="402" t="s">
        <v>386</v>
      </c>
      <c r="B14" s="520">
        <f t="shared" si="1"/>
        <v>12417.14</v>
      </c>
      <c r="C14" s="522">
        <f t="shared" si="3"/>
        <v>12417.14</v>
      </c>
      <c r="D14" s="523"/>
      <c r="E14" s="723">
        <f aca="true" t="shared" si="4" ref="E14:E38">SUM(F14,J14)</f>
        <v>10523</v>
      </c>
      <c r="F14" s="686">
        <v>10523</v>
      </c>
      <c r="G14" s="716"/>
      <c r="H14" s="400">
        <v>10523</v>
      </c>
      <c r="I14" s="716"/>
      <c r="J14" s="718"/>
      <c r="K14" s="759">
        <f t="shared" si="2"/>
        <v>6100.07</v>
      </c>
      <c r="L14" s="715">
        <f aca="true" t="shared" si="5" ref="L14:L21">SUM(M14:N14)</f>
        <v>6100.07</v>
      </c>
      <c r="M14" s="716">
        <v>6100.07</v>
      </c>
      <c r="N14" s="720"/>
      <c r="O14" s="765"/>
      <c r="P14" s="445"/>
    </row>
    <row r="15" spans="1:16" ht="31.5">
      <c r="A15" s="208" t="s">
        <v>556</v>
      </c>
      <c r="B15" s="520">
        <f t="shared" si="1"/>
        <v>342.9552</v>
      </c>
      <c r="C15" s="522">
        <f t="shared" si="3"/>
        <v>342.9552</v>
      </c>
      <c r="D15" s="523"/>
      <c r="E15" s="723">
        <f t="shared" si="4"/>
        <v>290.64</v>
      </c>
      <c r="F15" s="686">
        <v>290.64</v>
      </c>
      <c r="G15" s="716"/>
      <c r="H15" s="400">
        <v>290.64</v>
      </c>
      <c r="I15" s="716"/>
      <c r="J15" s="718"/>
      <c r="K15" s="759">
        <f t="shared" si="2"/>
        <v>353.39</v>
      </c>
      <c r="L15" s="715">
        <f t="shared" si="5"/>
        <v>353.39</v>
      </c>
      <c r="M15" s="716">
        <v>353.39</v>
      </c>
      <c r="N15" s="720"/>
      <c r="O15" s="765"/>
      <c r="P15" s="445"/>
    </row>
    <row r="16" spans="1:16" ht="31.5">
      <c r="A16" s="208" t="s">
        <v>552</v>
      </c>
      <c r="B16" s="520">
        <f t="shared" si="1"/>
        <v>411.53679999999997</v>
      </c>
      <c r="C16" s="522">
        <f t="shared" si="3"/>
        <v>411.53679999999997</v>
      </c>
      <c r="D16" s="523"/>
      <c r="E16" s="723">
        <f t="shared" si="4"/>
        <v>348.76</v>
      </c>
      <c r="F16" s="686">
        <v>348.76</v>
      </c>
      <c r="G16" s="716"/>
      <c r="H16" s="400">
        <v>348.76</v>
      </c>
      <c r="I16" s="716"/>
      <c r="J16" s="718"/>
      <c r="K16" s="759">
        <f t="shared" si="2"/>
        <v>413.67</v>
      </c>
      <c r="L16" s="715">
        <f t="shared" si="5"/>
        <v>413.67</v>
      </c>
      <c r="M16" s="716">
        <v>413.67</v>
      </c>
      <c r="N16" s="720"/>
      <c r="O16" s="765"/>
      <c r="P16" s="445"/>
    </row>
    <row r="17" spans="1:16" ht="31.5">
      <c r="A17" s="208" t="s">
        <v>557</v>
      </c>
      <c r="B17" s="520">
        <f t="shared" si="1"/>
        <v>411.53679999999997</v>
      </c>
      <c r="C17" s="522">
        <f t="shared" si="3"/>
        <v>411.53679999999997</v>
      </c>
      <c r="D17" s="523"/>
      <c r="E17" s="723">
        <f t="shared" si="4"/>
        <v>348.76</v>
      </c>
      <c r="F17" s="686">
        <v>348.76</v>
      </c>
      <c r="G17" s="716"/>
      <c r="H17" s="400">
        <v>348.76</v>
      </c>
      <c r="I17" s="716"/>
      <c r="J17" s="718"/>
      <c r="K17" s="759">
        <f t="shared" si="2"/>
        <v>459.63</v>
      </c>
      <c r="L17" s="715">
        <f t="shared" si="5"/>
        <v>459.63</v>
      </c>
      <c r="M17" s="716">
        <v>459.63</v>
      </c>
      <c r="N17" s="720"/>
      <c r="O17" s="765"/>
      <c r="P17" s="445"/>
    </row>
    <row r="18" spans="1:16" ht="31.5">
      <c r="A18" s="208" t="s">
        <v>558</v>
      </c>
      <c r="B18" s="520">
        <f t="shared" si="1"/>
        <v>1194.7618</v>
      </c>
      <c r="C18" s="522">
        <f t="shared" si="3"/>
        <v>1194.7618</v>
      </c>
      <c r="D18" s="523"/>
      <c r="E18" s="723">
        <f t="shared" si="4"/>
        <v>1012.51</v>
      </c>
      <c r="F18" s="686">
        <v>1012.51</v>
      </c>
      <c r="G18" s="716"/>
      <c r="H18" s="400">
        <v>1012.51</v>
      </c>
      <c r="I18" s="716"/>
      <c r="J18" s="718"/>
      <c r="K18" s="759">
        <f t="shared" si="2"/>
        <v>1693.37</v>
      </c>
      <c r="L18" s="715">
        <f t="shared" si="5"/>
        <v>1693.37</v>
      </c>
      <c r="M18" s="716">
        <v>1693.37</v>
      </c>
      <c r="N18" s="720"/>
      <c r="O18" s="765"/>
      <c r="P18" s="445"/>
    </row>
    <row r="19" spans="1:16" ht="34.5" customHeight="1">
      <c r="A19" s="403" t="s">
        <v>387</v>
      </c>
      <c r="B19" s="520">
        <f t="shared" si="1"/>
        <v>16580.7936</v>
      </c>
      <c r="C19" s="520">
        <f>SUM(C20:C21)</f>
        <v>16580.7936</v>
      </c>
      <c r="D19" s="520">
        <f>SUM(D20:D21)</f>
        <v>0</v>
      </c>
      <c r="E19" s="714">
        <f t="shared" si="4"/>
        <v>14051.52</v>
      </c>
      <c r="F19" s="710">
        <f aca="true" t="shared" si="6" ref="F19:O19">SUM(F20:F21)</f>
        <v>14051.52</v>
      </c>
      <c r="G19" s="724">
        <f t="shared" si="6"/>
        <v>0</v>
      </c>
      <c r="H19" s="724">
        <f t="shared" si="6"/>
        <v>14051.52</v>
      </c>
      <c r="I19" s="724">
        <f t="shared" si="6"/>
        <v>0</v>
      </c>
      <c r="J19" s="712">
        <f t="shared" si="6"/>
        <v>0</v>
      </c>
      <c r="K19" s="709">
        <f t="shared" si="6"/>
        <v>10885.039999999999</v>
      </c>
      <c r="L19" s="710">
        <f t="shared" si="6"/>
        <v>10885.039999999999</v>
      </c>
      <c r="M19" s="724">
        <f t="shared" si="6"/>
        <v>10885.039999999999</v>
      </c>
      <c r="N19" s="724">
        <f t="shared" si="6"/>
        <v>0</v>
      </c>
      <c r="O19" s="763">
        <f t="shared" si="6"/>
        <v>0</v>
      </c>
      <c r="P19" s="445"/>
    </row>
    <row r="20" spans="1:16" ht="34.5" customHeight="1">
      <c r="A20" s="429" t="s">
        <v>52</v>
      </c>
      <c r="B20" s="520">
        <f t="shared" si="1"/>
        <v>3971.5142</v>
      </c>
      <c r="C20" s="522">
        <f t="shared" si="3"/>
        <v>3971.5142</v>
      </c>
      <c r="D20" s="520"/>
      <c r="E20" s="723">
        <f t="shared" si="4"/>
        <v>3365.69</v>
      </c>
      <c r="F20" s="725">
        <v>3365.69</v>
      </c>
      <c r="G20" s="724"/>
      <c r="H20" s="726">
        <v>3365.69</v>
      </c>
      <c r="I20" s="724"/>
      <c r="J20" s="727"/>
      <c r="K20" s="759">
        <f t="shared" si="2"/>
        <v>1765.31</v>
      </c>
      <c r="L20" s="715">
        <f t="shared" si="5"/>
        <v>1765.31</v>
      </c>
      <c r="M20" s="716">
        <v>1765.31</v>
      </c>
      <c r="N20" s="720"/>
      <c r="O20" s="765"/>
      <c r="P20" s="445"/>
    </row>
    <row r="21" spans="1:16" ht="31.5">
      <c r="A21" s="208" t="s">
        <v>560</v>
      </c>
      <c r="B21" s="520">
        <f t="shared" si="1"/>
        <v>12609.2794</v>
      </c>
      <c r="C21" s="522">
        <f t="shared" si="3"/>
        <v>12609.2794</v>
      </c>
      <c r="D21" s="523"/>
      <c r="E21" s="723">
        <f t="shared" si="4"/>
        <v>10685.83</v>
      </c>
      <c r="F21" s="721">
        <f>10685.83</f>
        <v>10685.83</v>
      </c>
      <c r="G21" s="728"/>
      <c r="H21" s="722">
        <f>10685.83</f>
        <v>10685.83</v>
      </c>
      <c r="I21" s="728"/>
      <c r="J21" s="729"/>
      <c r="K21" s="759">
        <f t="shared" si="2"/>
        <v>9119.73</v>
      </c>
      <c r="L21" s="715">
        <f t="shared" si="5"/>
        <v>9119.73</v>
      </c>
      <c r="M21" s="716">
        <v>9119.73</v>
      </c>
      <c r="N21" s="720"/>
      <c r="O21" s="765"/>
      <c r="P21" s="445"/>
    </row>
    <row r="22" spans="1:16" ht="47.25">
      <c r="A22" s="594" t="s">
        <v>750</v>
      </c>
      <c r="B22" s="520">
        <f>SUM(C22:D22)</f>
        <v>12254.2056</v>
      </c>
      <c r="C22" s="522">
        <f>F22*1.18</f>
        <v>12254.2056</v>
      </c>
      <c r="D22" s="524"/>
      <c r="E22" s="714">
        <f t="shared" si="4"/>
        <v>10384.92</v>
      </c>
      <c r="F22" s="730">
        <v>10384.92</v>
      </c>
      <c r="G22" s="400"/>
      <c r="H22" s="731">
        <v>10384.92</v>
      </c>
      <c r="I22" s="731">
        <v>0</v>
      </c>
      <c r="J22" s="732">
        <v>0</v>
      </c>
      <c r="K22" s="755">
        <f>SUM(M22:O22)</f>
        <v>15283.25</v>
      </c>
      <c r="L22" s="730">
        <f>SUM(M22:N22)</f>
        <v>15283.25</v>
      </c>
      <c r="M22" s="750">
        <v>15283.25</v>
      </c>
      <c r="N22" s="720"/>
      <c r="O22" s="765"/>
      <c r="P22" s="445"/>
    </row>
    <row r="23" spans="1:16" ht="47.25">
      <c r="A23" s="594" t="s">
        <v>721</v>
      </c>
      <c r="B23" s="520">
        <f>SUM(C23:D23)</f>
        <v>17027.399999999998</v>
      </c>
      <c r="C23" s="522">
        <f>F23*1.18</f>
        <v>17027.399999999998</v>
      </c>
      <c r="D23" s="524"/>
      <c r="E23" s="714">
        <f t="shared" si="4"/>
        <v>14430</v>
      </c>
      <c r="F23" s="730">
        <v>14430</v>
      </c>
      <c r="G23" s="400"/>
      <c r="H23" s="400"/>
      <c r="I23" s="731">
        <v>14430</v>
      </c>
      <c r="J23" s="718"/>
      <c r="K23" s="755">
        <f>SUM(M23:O23)</f>
        <v>9206.03</v>
      </c>
      <c r="L23" s="730">
        <f>SUM(M23:N23)</f>
        <v>9206.03</v>
      </c>
      <c r="M23" s="750"/>
      <c r="N23" s="750">
        <v>9206.03</v>
      </c>
      <c r="O23" s="765"/>
      <c r="P23" s="445"/>
    </row>
    <row r="24" spans="1:16" ht="42.75" customHeight="1">
      <c r="A24" s="403" t="s">
        <v>388</v>
      </c>
      <c r="B24" s="520">
        <f t="shared" si="1"/>
        <v>6717.976</v>
      </c>
      <c r="C24" s="522">
        <f t="shared" si="3"/>
        <v>6717.976</v>
      </c>
      <c r="D24" s="290"/>
      <c r="E24" s="714">
        <f t="shared" si="4"/>
        <v>5693.2</v>
      </c>
      <c r="F24" s="733">
        <f>5693.2</f>
        <v>5693.2</v>
      </c>
      <c r="G24" s="734"/>
      <c r="H24" s="734">
        <f>5271.276+40.64</f>
        <v>5311.916</v>
      </c>
      <c r="I24" s="734">
        <f>421.924-40.65</f>
        <v>381.274</v>
      </c>
      <c r="J24" s="735"/>
      <c r="K24" s="755">
        <f>SUM(M24:O24)</f>
        <v>5924.75</v>
      </c>
      <c r="L24" s="730">
        <f>SUM(M24:N24)</f>
        <v>5924.75</v>
      </c>
      <c r="M24" s="750">
        <v>5924.75</v>
      </c>
      <c r="N24" s="720"/>
      <c r="O24" s="765"/>
      <c r="P24" s="445"/>
    </row>
    <row r="25" spans="1:16" ht="42.75" customHeight="1">
      <c r="A25" s="403" t="s">
        <v>142</v>
      </c>
      <c r="B25" s="520">
        <f t="shared" si="1"/>
        <v>9892.010799999998</v>
      </c>
      <c r="C25" s="522">
        <f t="shared" si="3"/>
        <v>9892.010799999998</v>
      </c>
      <c r="D25" s="290"/>
      <c r="E25" s="714">
        <f t="shared" si="4"/>
        <v>8383.06</v>
      </c>
      <c r="F25" s="733">
        <v>8383.06</v>
      </c>
      <c r="G25" s="734"/>
      <c r="H25" s="734"/>
      <c r="I25" s="734">
        <v>8383.06</v>
      </c>
      <c r="J25" s="735"/>
      <c r="K25" s="755">
        <f>SUM(M25:O25)</f>
        <v>0</v>
      </c>
      <c r="L25" s="730">
        <f>SUM(M25:N25)</f>
        <v>0</v>
      </c>
      <c r="M25" s="750">
        <v>0</v>
      </c>
      <c r="N25" s="750">
        <v>0</v>
      </c>
      <c r="O25" s="765"/>
      <c r="P25" s="445"/>
    </row>
    <row r="26" spans="1:16" ht="32.25" customHeight="1">
      <c r="A26" s="433" t="s">
        <v>389</v>
      </c>
      <c r="B26" s="520">
        <f t="shared" si="1"/>
        <v>354</v>
      </c>
      <c r="C26" s="522">
        <f t="shared" si="3"/>
        <v>354</v>
      </c>
      <c r="D26" s="525"/>
      <c r="E26" s="714">
        <f t="shared" si="4"/>
        <v>300</v>
      </c>
      <c r="F26" s="725">
        <f>180+120</f>
        <v>300</v>
      </c>
      <c r="G26" s="726"/>
      <c r="H26" s="726"/>
      <c r="I26" s="751">
        <v>300</v>
      </c>
      <c r="J26" s="736"/>
      <c r="K26" s="755">
        <f>SUM(M26:O26)</f>
        <v>118.29</v>
      </c>
      <c r="L26" s="725">
        <f>SUM(M26:N26)</f>
        <v>118.29</v>
      </c>
      <c r="M26" s="750"/>
      <c r="N26" s="750">
        <v>118.29</v>
      </c>
      <c r="O26" s="765"/>
      <c r="P26" s="445"/>
    </row>
    <row r="27" spans="1:16" s="437" customFormat="1" ht="29.25" customHeight="1">
      <c r="A27" s="515" t="s">
        <v>391</v>
      </c>
      <c r="B27" s="520">
        <f aca="true" t="shared" si="7" ref="B27:B40">SUM(C27:D27)</f>
        <v>4728.201</v>
      </c>
      <c r="C27" s="526">
        <f>SUM(C28:C32)</f>
        <v>4728.201</v>
      </c>
      <c r="D27" s="526">
        <f>SUM(D32:D32)</f>
        <v>0</v>
      </c>
      <c r="E27" s="714">
        <f t="shared" si="4"/>
        <v>4006.95</v>
      </c>
      <c r="F27" s="737">
        <f>SUM(F28:F31)</f>
        <v>4006.95</v>
      </c>
      <c r="G27" s="738">
        <f>SUM(G32:G32)</f>
        <v>0</v>
      </c>
      <c r="H27" s="738">
        <f>SUM(H28:H31)</f>
        <v>0</v>
      </c>
      <c r="I27" s="738">
        <f>SUM(I28:I31)</f>
        <v>4006.95</v>
      </c>
      <c r="J27" s="739">
        <f>SUM(J28:J31)</f>
        <v>0</v>
      </c>
      <c r="K27" s="756">
        <f>SUM(K28:K32)</f>
        <v>4548.85</v>
      </c>
      <c r="L27" s="737">
        <f>SUM(L28:L31)</f>
        <v>4548.85</v>
      </c>
      <c r="M27" s="738">
        <f>SUM(M28:M32)</f>
        <v>0</v>
      </c>
      <c r="N27" s="738">
        <f>SUM(N28:N32)</f>
        <v>4548.85</v>
      </c>
      <c r="O27" s="766">
        <f>SUM(O28:O32)</f>
        <v>0</v>
      </c>
      <c r="P27" s="766"/>
    </row>
    <row r="28" spans="1:16" ht="29.25" customHeight="1">
      <c r="A28" s="516" t="s">
        <v>53</v>
      </c>
      <c r="B28" s="520">
        <f>SUM(C28:D28)</f>
        <v>1627.5149999999999</v>
      </c>
      <c r="C28" s="522">
        <f>F28*1.18</f>
        <v>1627.5149999999999</v>
      </c>
      <c r="D28" s="526"/>
      <c r="E28" s="714">
        <f t="shared" si="4"/>
        <v>1379.25</v>
      </c>
      <c r="F28" s="740">
        <v>1379.25</v>
      </c>
      <c r="G28" s="741"/>
      <c r="H28" s="741"/>
      <c r="I28" s="742">
        <v>1379.25</v>
      </c>
      <c r="J28" s="743"/>
      <c r="K28" s="759">
        <f>SUM(M28:O28)</f>
        <v>1633.88</v>
      </c>
      <c r="L28" s="740">
        <f>SUM(M28:N28)</f>
        <v>1633.88</v>
      </c>
      <c r="M28" s="719"/>
      <c r="N28" s="752">
        <v>1633.88</v>
      </c>
      <c r="O28" s="765"/>
      <c r="P28" s="445"/>
    </row>
    <row r="29" spans="1:16" ht="29.25" customHeight="1">
      <c r="A29" s="516" t="s">
        <v>143</v>
      </c>
      <c r="B29" s="520">
        <f t="shared" si="7"/>
        <v>590</v>
      </c>
      <c r="C29" s="522">
        <f t="shared" si="3"/>
        <v>590</v>
      </c>
      <c r="D29" s="526"/>
      <c r="E29" s="714">
        <f t="shared" si="4"/>
        <v>500</v>
      </c>
      <c r="F29" s="740">
        <v>500</v>
      </c>
      <c r="G29" s="741"/>
      <c r="H29" s="741"/>
      <c r="I29" s="742">
        <v>500</v>
      </c>
      <c r="J29" s="743"/>
      <c r="K29" s="759">
        <f>SUM(M29:O29)</f>
        <v>500</v>
      </c>
      <c r="L29" s="740">
        <f>SUM(M29:N29)</f>
        <v>500</v>
      </c>
      <c r="M29" s="719"/>
      <c r="N29" s="752">
        <v>500</v>
      </c>
      <c r="O29" s="765"/>
      <c r="P29" s="445"/>
    </row>
    <row r="30" spans="1:16" ht="29.25" customHeight="1">
      <c r="A30" s="516" t="s">
        <v>144</v>
      </c>
      <c r="B30" s="520">
        <f t="shared" si="7"/>
        <v>1920.686</v>
      </c>
      <c r="C30" s="522">
        <f t="shared" si="3"/>
        <v>1920.686</v>
      </c>
      <c r="D30" s="526"/>
      <c r="E30" s="714">
        <f t="shared" si="4"/>
        <v>1627.7</v>
      </c>
      <c r="F30" s="740">
        <v>1627.7</v>
      </c>
      <c r="G30" s="741"/>
      <c r="H30" s="741"/>
      <c r="I30" s="742">
        <v>1627.7</v>
      </c>
      <c r="J30" s="743"/>
      <c r="K30" s="759">
        <f>SUM(M30:O30)</f>
        <v>1425.48</v>
      </c>
      <c r="L30" s="740">
        <f>SUM(M30:N30)</f>
        <v>1425.48</v>
      </c>
      <c r="M30" s="719"/>
      <c r="N30" s="752">
        <v>1425.48</v>
      </c>
      <c r="O30" s="765"/>
      <c r="P30" s="445"/>
    </row>
    <row r="31" spans="1:16" ht="29.25" customHeight="1">
      <c r="A31" s="516" t="s">
        <v>145</v>
      </c>
      <c r="B31" s="520">
        <f t="shared" si="7"/>
        <v>590</v>
      </c>
      <c r="C31" s="522">
        <f t="shared" si="3"/>
        <v>590</v>
      </c>
      <c r="D31" s="526"/>
      <c r="E31" s="714">
        <f t="shared" si="4"/>
        <v>500</v>
      </c>
      <c r="F31" s="740">
        <v>500</v>
      </c>
      <c r="G31" s="741"/>
      <c r="H31" s="741"/>
      <c r="I31" s="742">
        <v>500</v>
      </c>
      <c r="J31" s="743"/>
      <c r="K31" s="759">
        <f>SUM(M31:O31)</f>
        <v>989.49</v>
      </c>
      <c r="L31" s="740">
        <f>SUM(M31:N31)</f>
        <v>989.49</v>
      </c>
      <c r="M31" s="719"/>
      <c r="N31" s="752">
        <v>989.49</v>
      </c>
      <c r="O31" s="765"/>
      <c r="P31" s="445"/>
    </row>
    <row r="32" spans="1:16" s="550" customFormat="1" ht="30" customHeight="1">
      <c r="A32" s="546" t="s">
        <v>388</v>
      </c>
      <c r="B32" s="547">
        <f t="shared" si="7"/>
        <v>0</v>
      </c>
      <c r="C32" s="544">
        <f t="shared" si="3"/>
        <v>0</v>
      </c>
      <c r="D32" s="540"/>
      <c r="E32" s="714">
        <f t="shared" si="4"/>
        <v>0</v>
      </c>
      <c r="F32" s="721">
        <v>0</v>
      </c>
      <c r="G32" s="744"/>
      <c r="H32" s="744"/>
      <c r="I32" s="744">
        <v>0</v>
      </c>
      <c r="J32" s="729"/>
      <c r="K32" s="759">
        <f>SUM(M32:O32)</f>
        <v>0</v>
      </c>
      <c r="L32" s="740">
        <f>SUM(M32:N32)</f>
        <v>0</v>
      </c>
      <c r="M32" s="745"/>
      <c r="N32" s="753">
        <v>0</v>
      </c>
      <c r="O32" s="765"/>
      <c r="P32" s="691"/>
    </row>
    <row r="33" spans="1:16" s="437" customFormat="1" ht="24" customHeight="1">
      <c r="A33" s="517" t="s">
        <v>390</v>
      </c>
      <c r="B33" s="520">
        <f t="shared" si="7"/>
        <v>7670.7080000000005</v>
      </c>
      <c r="C33" s="595">
        <f>SUM(C34:C38)</f>
        <v>7670.7080000000005</v>
      </c>
      <c r="D33" s="527">
        <f>SUM(D34:D38)</f>
        <v>0</v>
      </c>
      <c r="E33" s="714">
        <f>SUM(F33,J33)</f>
        <v>6500.6</v>
      </c>
      <c r="F33" s="687">
        <f>SUM(F34:F38)</f>
        <v>6500.6</v>
      </c>
      <c r="G33" s="442">
        <f>SUM(G34:G38)</f>
        <v>0</v>
      </c>
      <c r="H33" s="596">
        <f aca="true" t="shared" si="8" ref="H33:M33">SUM(H34:H38)</f>
        <v>0</v>
      </c>
      <c r="I33" s="596">
        <f t="shared" si="8"/>
        <v>6500.6</v>
      </c>
      <c r="J33" s="689">
        <f t="shared" si="8"/>
        <v>0</v>
      </c>
      <c r="K33" s="757">
        <f t="shared" si="8"/>
        <v>15670.82</v>
      </c>
      <c r="L33" s="687">
        <f>SUM(L34:L38)</f>
        <v>15670.82</v>
      </c>
      <c r="M33" s="596">
        <f t="shared" si="8"/>
        <v>0</v>
      </c>
      <c r="N33" s="596">
        <f>SUM(N34:N38)</f>
        <v>15670.82</v>
      </c>
      <c r="O33" s="767">
        <f>SUM(O34:O38)</f>
        <v>0</v>
      </c>
      <c r="P33" s="767"/>
    </row>
    <row r="34" spans="1:16" ht="31.5">
      <c r="A34" s="211" t="s">
        <v>146</v>
      </c>
      <c r="B34" s="520">
        <f t="shared" si="7"/>
        <v>705.05</v>
      </c>
      <c r="C34" s="522">
        <f t="shared" si="3"/>
        <v>705.05</v>
      </c>
      <c r="D34" s="304"/>
      <c r="E34" s="714">
        <f t="shared" si="4"/>
        <v>597.5</v>
      </c>
      <c r="F34" s="715">
        <v>597.5</v>
      </c>
      <c r="G34" s="746"/>
      <c r="H34" s="746"/>
      <c r="I34" s="717">
        <v>597.5</v>
      </c>
      <c r="J34" s="718"/>
      <c r="K34" s="759">
        <f>SUM(M34:O34)</f>
        <v>704.81</v>
      </c>
      <c r="L34" s="740">
        <f>SUM(M34:N34)</f>
        <v>704.81</v>
      </c>
      <c r="M34" s="719"/>
      <c r="N34" s="752">
        <v>704.81</v>
      </c>
      <c r="O34" s="765"/>
      <c r="P34" s="445"/>
    </row>
    <row r="35" spans="1:16" ht="15.75">
      <c r="A35" s="211" t="s">
        <v>147</v>
      </c>
      <c r="B35" s="520">
        <f t="shared" si="7"/>
        <v>478.01800000000003</v>
      </c>
      <c r="C35" s="522">
        <f t="shared" si="3"/>
        <v>478.01800000000003</v>
      </c>
      <c r="D35" s="304"/>
      <c r="E35" s="714">
        <f t="shared" si="4"/>
        <v>405.1</v>
      </c>
      <c r="F35" s="715">
        <v>405.1</v>
      </c>
      <c r="G35" s="746"/>
      <c r="H35" s="746"/>
      <c r="I35" s="717">
        <v>405.1</v>
      </c>
      <c r="J35" s="718"/>
      <c r="K35" s="759">
        <f>SUM(M35:O35)</f>
        <v>436.25</v>
      </c>
      <c r="L35" s="740">
        <f>SUM(M35:N35)</f>
        <v>436.25</v>
      </c>
      <c r="M35" s="719"/>
      <c r="N35" s="752">
        <v>436.25</v>
      </c>
      <c r="O35" s="765"/>
      <c r="P35" s="445"/>
    </row>
    <row r="36" spans="1:16" ht="78.75">
      <c r="A36" s="212" t="s">
        <v>148</v>
      </c>
      <c r="B36" s="520">
        <f t="shared" si="7"/>
        <v>5357.672</v>
      </c>
      <c r="C36" s="522">
        <f t="shared" si="3"/>
        <v>5357.672</v>
      </c>
      <c r="D36" s="304"/>
      <c r="E36" s="714">
        <f t="shared" si="4"/>
        <v>4540.4</v>
      </c>
      <c r="F36" s="715">
        <v>4540.4</v>
      </c>
      <c r="G36" s="746"/>
      <c r="H36" s="746"/>
      <c r="I36" s="717">
        <v>4540.4</v>
      </c>
      <c r="J36" s="718"/>
      <c r="K36" s="759">
        <f>SUM(M36:O36)</f>
        <v>13931.17</v>
      </c>
      <c r="L36" s="740">
        <f>SUM(M36:N36)</f>
        <v>13931.17</v>
      </c>
      <c r="M36" s="719"/>
      <c r="N36" s="752">
        <v>13931.17</v>
      </c>
      <c r="O36" s="765"/>
      <c r="P36" s="445"/>
    </row>
    <row r="37" spans="1:19" ht="26.25">
      <c r="A37" s="404" t="s">
        <v>389</v>
      </c>
      <c r="B37" s="520">
        <f t="shared" si="7"/>
        <v>0</v>
      </c>
      <c r="C37" s="522">
        <f t="shared" si="3"/>
        <v>0</v>
      </c>
      <c r="D37" s="528"/>
      <c r="E37" s="714">
        <f t="shared" si="4"/>
        <v>0</v>
      </c>
      <c r="F37" s="715"/>
      <c r="G37" s="747"/>
      <c r="H37" s="747"/>
      <c r="I37" s="717"/>
      <c r="J37" s="718"/>
      <c r="K37" s="759">
        <f>SUM(M37:O37)</f>
        <v>0</v>
      </c>
      <c r="L37" s="740">
        <f>SUM(M37:N37)</f>
        <v>0</v>
      </c>
      <c r="M37" s="719"/>
      <c r="N37" s="752"/>
      <c r="O37" s="765"/>
      <c r="P37" s="445"/>
      <c r="S37" s="395"/>
    </row>
    <row r="38" spans="1:19" ht="15.75">
      <c r="A38" s="410" t="s">
        <v>388</v>
      </c>
      <c r="B38" s="520">
        <f t="shared" si="7"/>
        <v>1129.968000000001</v>
      </c>
      <c r="C38" s="522">
        <f t="shared" si="3"/>
        <v>1129.968000000001</v>
      </c>
      <c r="D38" s="528"/>
      <c r="E38" s="714">
        <f t="shared" si="4"/>
        <v>957.6000000000008</v>
      </c>
      <c r="F38" s="715">
        <f>6500.6-F36-F35-F34</f>
        <v>957.6000000000008</v>
      </c>
      <c r="G38" s="747"/>
      <c r="H38" s="747"/>
      <c r="I38" s="717">
        <f>6500.6-I36-I35-I34</f>
        <v>957.6000000000008</v>
      </c>
      <c r="J38" s="718"/>
      <c r="K38" s="759">
        <f>SUM(M38:O38)</f>
        <v>598.59</v>
      </c>
      <c r="L38" s="740">
        <f>SUM(M38:N38)</f>
        <v>598.59</v>
      </c>
      <c r="M38" s="719"/>
      <c r="N38" s="752">
        <v>598.59</v>
      </c>
      <c r="O38" s="765"/>
      <c r="P38" s="445"/>
      <c r="S38" s="395"/>
    </row>
    <row r="39" spans="1:19" ht="34.5" customHeight="1">
      <c r="A39" s="515" t="s">
        <v>789</v>
      </c>
      <c r="B39" s="520">
        <f t="shared" si="7"/>
        <v>11800</v>
      </c>
      <c r="C39" s="595">
        <f>SUM(C40:C40)</f>
        <v>0</v>
      </c>
      <c r="D39" s="527">
        <f>SUM(D40:D43)</f>
        <v>11800</v>
      </c>
      <c r="E39" s="713">
        <f aca="true" t="shared" si="9" ref="E39:E44">SUM(F39:J39)</f>
        <v>10000</v>
      </c>
      <c r="F39" s="687">
        <f>SUM(F40:F40)</f>
        <v>0</v>
      </c>
      <c r="G39" s="442">
        <f>SUM(G40:G40)</f>
        <v>0</v>
      </c>
      <c r="H39" s="596">
        <f>SUM(H40:H40)</f>
        <v>0</v>
      </c>
      <c r="I39" s="596">
        <f>SUM(I40:I40)</f>
        <v>0</v>
      </c>
      <c r="J39" s="690">
        <f>SUM(J40:J43)</f>
        <v>10000</v>
      </c>
      <c r="K39" s="758">
        <f>SUM(K40:K80)</f>
        <v>13479.369999999994</v>
      </c>
      <c r="L39" s="687">
        <f>SUM(L40:L40)</f>
        <v>0</v>
      </c>
      <c r="M39" s="690">
        <f>SUM(M40:M43)</f>
        <v>0</v>
      </c>
      <c r="N39" s="690">
        <f>SUM(N40:N43)</f>
        <v>1651.03</v>
      </c>
      <c r="O39" s="761">
        <f>SUM(O40:O44)</f>
        <v>1095.6</v>
      </c>
      <c r="P39" s="761">
        <f>10737.24</f>
        <v>10737.24</v>
      </c>
      <c r="S39" s="395"/>
    </row>
    <row r="40" spans="1:19" ht="47.25">
      <c r="A40" s="209" t="s">
        <v>696</v>
      </c>
      <c r="B40" s="520">
        <f t="shared" si="7"/>
        <v>590</v>
      </c>
      <c r="C40" s="529"/>
      <c r="D40" s="522">
        <f>J40*1.18</f>
        <v>590</v>
      </c>
      <c r="E40" s="714">
        <f t="shared" si="9"/>
        <v>500</v>
      </c>
      <c r="F40" s="748"/>
      <c r="G40" s="720"/>
      <c r="H40" s="720"/>
      <c r="I40" s="720"/>
      <c r="J40" s="749">
        <v>500</v>
      </c>
      <c r="K40" s="759">
        <f>SUM(M40:O40)</f>
        <v>1651.03</v>
      </c>
      <c r="L40" s="748"/>
      <c r="M40" s="720"/>
      <c r="N40" s="752">
        <v>1651.03</v>
      </c>
      <c r="O40" s="768">
        <v>0</v>
      </c>
      <c r="P40" s="800"/>
      <c r="S40" s="395"/>
    </row>
    <row r="41" spans="1:19" ht="47.25">
      <c r="A41" s="209" t="s">
        <v>722</v>
      </c>
      <c r="B41" s="520">
        <f>SUM(C41:D41)</f>
        <v>7080</v>
      </c>
      <c r="C41" s="529"/>
      <c r="D41" s="522">
        <f>J41*1.18</f>
        <v>7080</v>
      </c>
      <c r="E41" s="714">
        <f t="shared" si="9"/>
        <v>6000</v>
      </c>
      <c r="F41" s="748"/>
      <c r="G41" s="720"/>
      <c r="H41" s="720"/>
      <c r="I41" s="720"/>
      <c r="J41" s="749">
        <v>6000</v>
      </c>
      <c r="K41" s="759">
        <f>SUM(M41:O41)</f>
        <v>1095.6</v>
      </c>
      <c r="L41" s="748"/>
      <c r="M41" s="720"/>
      <c r="N41" s="752"/>
      <c r="O41" s="768">
        <f>2393.87-1298.27</f>
        <v>1095.6</v>
      </c>
      <c r="P41" s="445"/>
      <c r="S41" s="395"/>
    </row>
    <row r="42" spans="1:19" ht="47.25">
      <c r="A42" s="209" t="s">
        <v>723</v>
      </c>
      <c r="B42" s="520">
        <f>SUM(C42:D42)</f>
        <v>3540</v>
      </c>
      <c r="C42" s="529"/>
      <c r="D42" s="522">
        <f>J42*1.18</f>
        <v>3540</v>
      </c>
      <c r="E42" s="714">
        <f t="shared" si="9"/>
        <v>3000</v>
      </c>
      <c r="F42" s="748"/>
      <c r="G42" s="720"/>
      <c r="H42" s="720"/>
      <c r="I42" s="720"/>
      <c r="J42" s="749">
        <v>3000</v>
      </c>
      <c r="K42" s="759">
        <f>SUM(M42:O42)</f>
        <v>0</v>
      </c>
      <c r="L42" s="748"/>
      <c r="M42" s="720"/>
      <c r="N42" s="752"/>
      <c r="O42" s="768">
        <v>0</v>
      </c>
      <c r="P42" s="445"/>
      <c r="S42" s="395"/>
    </row>
    <row r="43" spans="1:19" ht="47.25">
      <c r="A43" s="209" t="s">
        <v>705</v>
      </c>
      <c r="B43" s="520">
        <f>SUM(C43:D43)</f>
        <v>590</v>
      </c>
      <c r="C43" s="529"/>
      <c r="D43" s="522">
        <f>J43*1.18</f>
        <v>590</v>
      </c>
      <c r="E43" s="714">
        <f t="shared" si="9"/>
        <v>500</v>
      </c>
      <c r="F43" s="748"/>
      <c r="G43" s="720"/>
      <c r="H43" s="720"/>
      <c r="I43" s="720"/>
      <c r="J43" s="749">
        <v>500</v>
      </c>
      <c r="K43" s="759">
        <f>SUM(M43:O43)</f>
        <v>0</v>
      </c>
      <c r="L43" s="748"/>
      <c r="M43" s="720"/>
      <c r="N43" s="752"/>
      <c r="O43" s="768">
        <v>0</v>
      </c>
      <c r="P43" s="445"/>
      <c r="S43" s="395"/>
    </row>
    <row r="44" spans="1:19" ht="31.5">
      <c r="A44" s="209" t="s">
        <v>755</v>
      </c>
      <c r="B44" s="815"/>
      <c r="C44" s="816"/>
      <c r="D44" s="817"/>
      <c r="E44" s="714">
        <f t="shared" si="9"/>
        <v>0</v>
      </c>
      <c r="F44" s="748"/>
      <c r="G44" s="720"/>
      <c r="H44" s="720"/>
      <c r="I44" s="720"/>
      <c r="J44" s="749">
        <v>0</v>
      </c>
      <c r="K44" s="759">
        <f>SUM(M44:O44)</f>
        <v>582.36</v>
      </c>
      <c r="L44" s="748"/>
      <c r="M44" s="720"/>
      <c r="N44" s="752">
        <v>582.36</v>
      </c>
      <c r="O44" s="768">
        <v>0</v>
      </c>
      <c r="P44" s="445"/>
      <c r="S44" s="395"/>
    </row>
    <row r="45" spans="1:16" ht="15.75">
      <c r="A45" s="769"/>
      <c r="B45" s="770"/>
      <c r="C45" s="771"/>
      <c r="D45" s="772"/>
      <c r="E45" s="773"/>
      <c r="F45" s="774"/>
      <c r="G45" s="774"/>
      <c r="H45" s="774"/>
      <c r="I45" s="774"/>
      <c r="J45" s="775"/>
      <c r="K45" s="776"/>
      <c r="L45" s="774"/>
      <c r="M45" s="774"/>
      <c r="N45" s="774"/>
      <c r="O45" s="777"/>
      <c r="P45" s="778"/>
    </row>
    <row r="46" spans="1:16" ht="47.25">
      <c r="A46" s="209" t="s">
        <v>741</v>
      </c>
      <c r="E46" s="714">
        <v>0</v>
      </c>
      <c r="F46" s="748"/>
      <c r="G46" s="445"/>
      <c r="H46" s="445"/>
      <c r="I46" s="445"/>
      <c r="J46" s="749"/>
      <c r="K46" s="759">
        <f>SUM(P46)</f>
        <v>5787.2</v>
      </c>
      <c r="L46" s="748"/>
      <c r="M46" s="445"/>
      <c r="N46" s="445"/>
      <c r="O46" s="768"/>
      <c r="P46" s="814">
        <v>5787.2</v>
      </c>
    </row>
    <row r="47" spans="1:16" ht="78.75">
      <c r="A47" s="209" t="s">
        <v>742</v>
      </c>
      <c r="E47" s="714">
        <v>0</v>
      </c>
      <c r="F47" s="748"/>
      <c r="G47" s="445"/>
      <c r="H47" s="445"/>
      <c r="I47" s="445"/>
      <c r="J47" s="749"/>
      <c r="K47" s="759">
        <f>SUM(P47)</f>
        <v>85.21</v>
      </c>
      <c r="L47" s="748"/>
      <c r="M47" s="445"/>
      <c r="N47" s="445"/>
      <c r="O47" s="768"/>
      <c r="P47" s="814">
        <v>85.21</v>
      </c>
    </row>
    <row r="48" spans="1:16" ht="31.5">
      <c r="A48" s="209" t="s">
        <v>743</v>
      </c>
      <c r="E48" s="714">
        <v>0</v>
      </c>
      <c r="F48" s="748"/>
      <c r="G48" s="445"/>
      <c r="H48" s="445"/>
      <c r="I48" s="445"/>
      <c r="J48" s="749"/>
      <c r="K48" s="759">
        <f>SUM(P48)</f>
        <v>7.14</v>
      </c>
      <c r="L48" s="748"/>
      <c r="M48" s="445"/>
      <c r="N48" s="445"/>
      <c r="O48" s="768"/>
      <c r="P48" s="814">
        <v>7.14</v>
      </c>
    </row>
    <row r="49" spans="1:16" ht="31.5">
      <c r="A49" s="209" t="s">
        <v>744</v>
      </c>
      <c r="E49" s="714">
        <v>0</v>
      </c>
      <c r="F49" s="748"/>
      <c r="G49" s="445"/>
      <c r="H49" s="445"/>
      <c r="I49" s="445"/>
      <c r="J49" s="749"/>
      <c r="K49" s="759">
        <f>SUM(P49)</f>
        <v>53.31</v>
      </c>
      <c r="L49" s="748"/>
      <c r="M49" s="445"/>
      <c r="N49" s="445"/>
      <c r="O49" s="768"/>
      <c r="P49" s="814">
        <v>53.31</v>
      </c>
    </row>
    <row r="50" spans="1:16" ht="63">
      <c r="A50" s="209" t="s">
        <v>745</v>
      </c>
      <c r="E50" s="714">
        <v>0</v>
      </c>
      <c r="F50" s="748"/>
      <c r="G50" s="445"/>
      <c r="H50" s="445"/>
      <c r="I50" s="445"/>
      <c r="J50" s="749"/>
      <c r="K50" s="759">
        <f>SUM(P50)</f>
        <v>0.69</v>
      </c>
      <c r="L50" s="748"/>
      <c r="M50" s="445"/>
      <c r="N50" s="445"/>
      <c r="O50" s="768"/>
      <c r="P50" s="800">
        <v>0.69</v>
      </c>
    </row>
    <row r="51" spans="1:16" ht="31.5">
      <c r="A51" s="209" t="s">
        <v>756</v>
      </c>
      <c r="E51" s="714">
        <v>0</v>
      </c>
      <c r="F51" s="748"/>
      <c r="G51" s="445"/>
      <c r="H51" s="445"/>
      <c r="I51" s="445"/>
      <c r="J51" s="749"/>
      <c r="K51" s="759">
        <f aca="true" t="shared" si="10" ref="K51:K67">SUM(P51)</f>
        <v>270.15</v>
      </c>
      <c r="L51" s="748"/>
      <c r="M51" s="445"/>
      <c r="N51" s="445"/>
      <c r="O51" s="768"/>
      <c r="P51" s="814">
        <v>270.15</v>
      </c>
    </row>
    <row r="52" spans="1:16" ht="31.5">
      <c r="A52" s="209" t="s">
        <v>786</v>
      </c>
      <c r="E52" s="714">
        <v>0</v>
      </c>
      <c r="F52" s="748"/>
      <c r="G52" s="445"/>
      <c r="H52" s="445"/>
      <c r="I52" s="445"/>
      <c r="J52" s="749"/>
      <c r="K52" s="759">
        <f>SUM(P52)</f>
        <v>9.8</v>
      </c>
      <c r="L52" s="748"/>
      <c r="M52" s="445"/>
      <c r="N52" s="445"/>
      <c r="O52" s="768"/>
      <c r="P52" s="814">
        <v>9.8</v>
      </c>
    </row>
    <row r="53" spans="1:16" ht="47.25">
      <c r="A53" s="209" t="s">
        <v>785</v>
      </c>
      <c r="E53" s="714">
        <v>0</v>
      </c>
      <c r="F53" s="748"/>
      <c r="G53" s="445"/>
      <c r="H53" s="445"/>
      <c r="I53" s="445"/>
      <c r="J53" s="749"/>
      <c r="K53" s="759">
        <f t="shared" si="10"/>
        <v>127.61</v>
      </c>
      <c r="L53" s="748"/>
      <c r="M53" s="445"/>
      <c r="N53" s="445"/>
      <c r="O53" s="768"/>
      <c r="P53" s="814">
        <v>127.61</v>
      </c>
    </row>
    <row r="54" spans="1:16" ht="31.5">
      <c r="A54" s="209" t="s">
        <v>757</v>
      </c>
      <c r="E54" s="714">
        <v>0</v>
      </c>
      <c r="F54" s="748"/>
      <c r="G54" s="445"/>
      <c r="H54" s="445"/>
      <c r="I54" s="445"/>
      <c r="J54" s="749"/>
      <c r="K54" s="759">
        <f t="shared" si="10"/>
        <v>8.22</v>
      </c>
      <c r="L54" s="748"/>
      <c r="M54" s="445"/>
      <c r="N54" s="445"/>
      <c r="O54" s="768"/>
      <c r="P54" s="814">
        <v>8.22</v>
      </c>
    </row>
    <row r="55" spans="1:16" ht="31.5">
      <c r="A55" s="209" t="s">
        <v>758</v>
      </c>
      <c r="E55" s="714">
        <v>0</v>
      </c>
      <c r="F55" s="748"/>
      <c r="G55" s="445"/>
      <c r="H55" s="445"/>
      <c r="I55" s="445"/>
      <c r="J55" s="749"/>
      <c r="K55" s="759">
        <f t="shared" si="10"/>
        <v>11.62</v>
      </c>
      <c r="L55" s="748"/>
      <c r="M55" s="445"/>
      <c r="N55" s="445"/>
      <c r="O55" s="768"/>
      <c r="P55" s="814">
        <v>11.62</v>
      </c>
    </row>
    <row r="56" spans="1:16" ht="31.5">
      <c r="A56" s="209" t="s">
        <v>759</v>
      </c>
      <c r="E56" s="714">
        <v>0</v>
      </c>
      <c r="F56" s="748"/>
      <c r="G56" s="445"/>
      <c r="H56" s="445"/>
      <c r="I56" s="445"/>
      <c r="J56" s="749"/>
      <c r="K56" s="759">
        <f t="shared" si="10"/>
        <v>96.96</v>
      </c>
      <c r="L56" s="748"/>
      <c r="M56" s="445"/>
      <c r="N56" s="445"/>
      <c r="O56" s="768"/>
      <c r="P56" s="814">
        <v>96.96</v>
      </c>
    </row>
    <row r="57" spans="1:16" ht="31.5">
      <c r="A57" s="209" t="s">
        <v>760</v>
      </c>
      <c r="E57" s="714">
        <v>0</v>
      </c>
      <c r="F57" s="748"/>
      <c r="G57" s="445"/>
      <c r="H57" s="445"/>
      <c r="I57" s="445"/>
      <c r="J57" s="749"/>
      <c r="K57" s="759">
        <f t="shared" si="10"/>
        <v>3.66</v>
      </c>
      <c r="L57" s="748"/>
      <c r="M57" s="445"/>
      <c r="N57" s="445"/>
      <c r="O57" s="768"/>
      <c r="P57" s="814">
        <v>3.66</v>
      </c>
    </row>
    <row r="58" spans="1:16" ht="31.5">
      <c r="A58" s="209" t="s">
        <v>761</v>
      </c>
      <c r="E58" s="714">
        <v>0</v>
      </c>
      <c r="F58" s="748"/>
      <c r="G58" s="445"/>
      <c r="H58" s="445"/>
      <c r="I58" s="445"/>
      <c r="J58" s="749"/>
      <c r="K58" s="759">
        <f t="shared" si="10"/>
        <v>19.23</v>
      </c>
      <c r="L58" s="748"/>
      <c r="M58" s="445"/>
      <c r="N58" s="445"/>
      <c r="O58" s="768"/>
      <c r="P58" s="814">
        <v>19.23</v>
      </c>
    </row>
    <row r="59" spans="1:16" ht="47.25">
      <c r="A59" s="209" t="s">
        <v>762</v>
      </c>
      <c r="E59" s="714">
        <v>0</v>
      </c>
      <c r="F59" s="748"/>
      <c r="G59" s="445"/>
      <c r="H59" s="445"/>
      <c r="I59" s="445"/>
      <c r="J59" s="749"/>
      <c r="K59" s="759">
        <f t="shared" si="10"/>
        <v>7.08</v>
      </c>
      <c r="L59" s="748"/>
      <c r="M59" s="445"/>
      <c r="N59" s="445"/>
      <c r="O59" s="768"/>
      <c r="P59" s="814">
        <v>7.08</v>
      </c>
    </row>
    <row r="60" spans="1:16" ht="31.5">
      <c r="A60" s="209" t="s">
        <v>763</v>
      </c>
      <c r="E60" s="714">
        <v>0</v>
      </c>
      <c r="F60" s="748"/>
      <c r="G60" s="445"/>
      <c r="H60" s="445"/>
      <c r="I60" s="445"/>
      <c r="J60" s="749"/>
      <c r="K60" s="759">
        <f t="shared" si="10"/>
        <v>41.23</v>
      </c>
      <c r="L60" s="748"/>
      <c r="M60" s="445"/>
      <c r="N60" s="445"/>
      <c r="O60" s="768"/>
      <c r="P60" s="814">
        <v>41.23</v>
      </c>
    </row>
    <row r="61" spans="1:16" ht="31.5">
      <c r="A61" s="209" t="s">
        <v>764</v>
      </c>
      <c r="E61" s="714">
        <v>0</v>
      </c>
      <c r="F61" s="748"/>
      <c r="G61" s="445"/>
      <c r="H61" s="445"/>
      <c r="I61" s="445"/>
      <c r="J61" s="749"/>
      <c r="K61" s="759">
        <f t="shared" si="10"/>
        <v>39.89</v>
      </c>
      <c r="L61" s="748"/>
      <c r="M61" s="445"/>
      <c r="N61" s="445"/>
      <c r="O61" s="768"/>
      <c r="P61" s="814">
        <v>39.89</v>
      </c>
    </row>
    <row r="62" spans="1:16" ht="31.5">
      <c r="A62" s="209" t="s">
        <v>765</v>
      </c>
      <c r="E62" s="714">
        <v>0</v>
      </c>
      <c r="F62" s="748"/>
      <c r="G62" s="445"/>
      <c r="H62" s="445"/>
      <c r="I62" s="445"/>
      <c r="J62" s="749"/>
      <c r="K62" s="759">
        <f t="shared" si="10"/>
        <v>195.43</v>
      </c>
      <c r="L62" s="748"/>
      <c r="M62" s="445"/>
      <c r="N62" s="445"/>
      <c r="O62" s="768"/>
      <c r="P62" s="814">
        <v>195.43</v>
      </c>
    </row>
    <row r="63" spans="1:16" ht="31.5">
      <c r="A63" s="209" t="s">
        <v>779</v>
      </c>
      <c r="E63" s="714">
        <v>0</v>
      </c>
      <c r="F63" s="748"/>
      <c r="G63" s="445"/>
      <c r="H63" s="445"/>
      <c r="I63" s="445"/>
      <c r="J63" s="749"/>
      <c r="K63" s="759">
        <f>SUM(P63)</f>
        <v>593.22</v>
      </c>
      <c r="L63" s="748"/>
      <c r="M63" s="445"/>
      <c r="N63" s="445"/>
      <c r="O63" s="768"/>
      <c r="P63" s="814">
        <f>296.61+296.61</f>
        <v>593.22</v>
      </c>
    </row>
    <row r="64" spans="1:16" ht="31.5">
      <c r="A64" s="209" t="s">
        <v>780</v>
      </c>
      <c r="E64" s="714">
        <v>0</v>
      </c>
      <c r="F64" s="748"/>
      <c r="G64" s="445"/>
      <c r="H64" s="445"/>
      <c r="I64" s="445"/>
      <c r="J64" s="749"/>
      <c r="K64" s="759">
        <f>SUM(P64)</f>
        <v>596</v>
      </c>
      <c r="L64" s="748"/>
      <c r="M64" s="445"/>
      <c r="N64" s="445"/>
      <c r="O64" s="768"/>
      <c r="P64" s="814">
        <f>298+298</f>
        <v>596</v>
      </c>
    </row>
    <row r="65" spans="1:16" ht="31.5">
      <c r="A65" s="209" t="s">
        <v>781</v>
      </c>
      <c r="E65" s="714">
        <v>0</v>
      </c>
      <c r="F65" s="748"/>
      <c r="G65" s="445"/>
      <c r="H65" s="445"/>
      <c r="I65" s="445"/>
      <c r="J65" s="749"/>
      <c r="K65" s="759">
        <f>SUM(P65)</f>
        <v>298</v>
      </c>
      <c r="L65" s="748"/>
      <c r="M65" s="445"/>
      <c r="N65" s="445"/>
      <c r="O65" s="768"/>
      <c r="P65" s="814">
        <v>298</v>
      </c>
    </row>
    <row r="66" spans="1:16" ht="47.25">
      <c r="A66" s="209" t="s">
        <v>782</v>
      </c>
      <c r="E66" s="714">
        <v>0</v>
      </c>
      <c r="F66" s="748"/>
      <c r="G66" s="445"/>
      <c r="H66" s="445"/>
      <c r="I66" s="445"/>
      <c r="J66" s="749"/>
      <c r="K66" s="759">
        <f>SUM(P66)</f>
        <v>819.08</v>
      </c>
      <c r="L66" s="748"/>
      <c r="M66" s="445"/>
      <c r="N66" s="445"/>
      <c r="O66" s="768"/>
      <c r="P66" s="814">
        <v>819.08</v>
      </c>
    </row>
    <row r="67" spans="1:16" ht="31.5">
      <c r="A67" s="209" t="s">
        <v>766</v>
      </c>
      <c r="E67" s="714">
        <v>0</v>
      </c>
      <c r="F67" s="748"/>
      <c r="G67" s="445"/>
      <c r="H67" s="445"/>
      <c r="I67" s="445"/>
      <c r="J67" s="749"/>
      <c r="K67" s="759">
        <f t="shared" si="10"/>
        <v>95.25</v>
      </c>
      <c r="L67" s="748"/>
      <c r="M67" s="445"/>
      <c r="N67" s="445"/>
      <c r="O67" s="768"/>
      <c r="P67" s="814">
        <v>95.25</v>
      </c>
    </row>
    <row r="68" spans="1:16" ht="31.5">
      <c r="A68" s="209" t="s">
        <v>746</v>
      </c>
      <c r="E68" s="714">
        <v>0</v>
      </c>
      <c r="F68" s="748"/>
      <c r="G68" s="445"/>
      <c r="H68" s="445"/>
      <c r="I68" s="445"/>
      <c r="J68" s="749"/>
      <c r="K68" s="759">
        <f>SUM(P68)</f>
        <v>98.8</v>
      </c>
      <c r="L68" s="748"/>
      <c r="M68" s="445"/>
      <c r="N68" s="445"/>
      <c r="O68" s="768"/>
      <c r="P68" s="814">
        <v>98.8</v>
      </c>
    </row>
    <row r="69" spans="1:16" ht="47.25">
      <c r="A69" s="209" t="s">
        <v>747</v>
      </c>
      <c r="E69" s="714">
        <v>0</v>
      </c>
      <c r="F69" s="748"/>
      <c r="G69" s="445"/>
      <c r="H69" s="445"/>
      <c r="I69" s="445"/>
      <c r="J69" s="749"/>
      <c r="K69" s="759">
        <f>SUM(P69)</f>
        <v>20.53</v>
      </c>
      <c r="L69" s="748"/>
      <c r="M69" s="445"/>
      <c r="N69" s="445"/>
      <c r="O69" s="768"/>
      <c r="P69" s="814">
        <v>20.53</v>
      </c>
    </row>
    <row r="70" spans="1:16" ht="47.25">
      <c r="A70" s="209" t="s">
        <v>748</v>
      </c>
      <c r="E70" s="714">
        <v>0</v>
      </c>
      <c r="F70" s="748"/>
      <c r="G70" s="445"/>
      <c r="H70" s="445"/>
      <c r="I70" s="445"/>
      <c r="J70" s="749"/>
      <c r="K70" s="759">
        <f>SUM(P70)</f>
        <v>23.68</v>
      </c>
      <c r="L70" s="748"/>
      <c r="M70" s="445"/>
      <c r="N70" s="445"/>
      <c r="O70" s="768"/>
      <c r="P70" s="814">
        <v>23.68</v>
      </c>
    </row>
    <row r="71" spans="1:16" ht="63">
      <c r="A71" s="209" t="s">
        <v>784</v>
      </c>
      <c r="E71" s="714">
        <v>0</v>
      </c>
      <c r="F71" s="748"/>
      <c r="G71" s="445"/>
      <c r="H71" s="445"/>
      <c r="I71" s="445"/>
      <c r="J71" s="749"/>
      <c r="K71" s="759">
        <f>SUM(P71)</f>
        <v>11.56</v>
      </c>
      <c r="L71" s="748"/>
      <c r="M71" s="445"/>
      <c r="N71" s="445"/>
      <c r="O71" s="768"/>
      <c r="P71" s="814">
        <v>11.56</v>
      </c>
    </row>
    <row r="72" spans="1:16" ht="47.25" hidden="1">
      <c r="A72" s="209" t="s">
        <v>767</v>
      </c>
      <c r="E72" s="714">
        <v>0</v>
      </c>
      <c r="F72" s="748"/>
      <c r="G72" s="445"/>
      <c r="H72" s="445"/>
      <c r="I72" s="445"/>
      <c r="J72" s="749"/>
      <c r="K72" s="759">
        <f>SUM(P72)</f>
        <v>343.46</v>
      </c>
      <c r="L72" s="748"/>
      <c r="M72" s="445"/>
      <c r="N72" s="445"/>
      <c r="O72" s="768"/>
      <c r="P72" s="814">
        <v>343.46</v>
      </c>
    </row>
    <row r="73" spans="1:16" ht="47.25">
      <c r="A73" s="209" t="s">
        <v>768</v>
      </c>
      <c r="E73" s="714">
        <v>0</v>
      </c>
      <c r="F73" s="748"/>
      <c r="G73" s="445"/>
      <c r="H73" s="445"/>
      <c r="I73" s="445"/>
      <c r="J73" s="749"/>
      <c r="K73" s="759">
        <f aca="true" t="shared" si="11" ref="K73:K80">SUM(P73)</f>
        <v>50.57</v>
      </c>
      <c r="L73" s="748"/>
      <c r="M73" s="445"/>
      <c r="N73" s="445"/>
      <c r="O73" s="768"/>
      <c r="P73" s="814">
        <v>50.57</v>
      </c>
    </row>
    <row r="74" spans="1:16" ht="47.25">
      <c r="A74" s="209" t="s">
        <v>769</v>
      </c>
      <c r="E74" s="714">
        <v>0</v>
      </c>
      <c r="F74" s="748"/>
      <c r="G74" s="445"/>
      <c r="H74" s="445"/>
      <c r="I74" s="445"/>
      <c r="J74" s="749"/>
      <c r="K74" s="759">
        <f t="shared" si="11"/>
        <v>90.74</v>
      </c>
      <c r="L74" s="748"/>
      <c r="M74" s="445"/>
      <c r="N74" s="445"/>
      <c r="O74" s="768"/>
      <c r="P74" s="814">
        <v>90.74</v>
      </c>
    </row>
    <row r="75" spans="1:16" ht="47.25">
      <c r="A75" s="209" t="s">
        <v>770</v>
      </c>
      <c r="E75" s="714">
        <v>0</v>
      </c>
      <c r="F75" s="748"/>
      <c r="G75" s="445"/>
      <c r="H75" s="445"/>
      <c r="I75" s="445"/>
      <c r="J75" s="749"/>
      <c r="K75" s="759">
        <f t="shared" si="11"/>
        <v>25.07</v>
      </c>
      <c r="L75" s="748"/>
      <c r="M75" s="445"/>
      <c r="N75" s="445"/>
      <c r="O75" s="768"/>
      <c r="P75" s="814">
        <v>25.07</v>
      </c>
    </row>
    <row r="76" spans="1:16" ht="47.25">
      <c r="A76" s="209" t="s">
        <v>771</v>
      </c>
      <c r="E76" s="714">
        <v>0</v>
      </c>
      <c r="F76" s="748"/>
      <c r="G76" s="445"/>
      <c r="H76" s="445"/>
      <c r="I76" s="445"/>
      <c r="J76" s="749"/>
      <c r="K76" s="759">
        <f t="shared" si="11"/>
        <v>58.39</v>
      </c>
      <c r="L76" s="748"/>
      <c r="M76" s="445"/>
      <c r="N76" s="445"/>
      <c r="O76" s="768"/>
      <c r="P76" s="814">
        <v>58.39</v>
      </c>
    </row>
    <row r="77" spans="1:16" ht="47.25">
      <c r="A77" s="209" t="s">
        <v>772</v>
      </c>
      <c r="E77" s="714">
        <v>0</v>
      </c>
      <c r="F77" s="748"/>
      <c r="G77" s="445"/>
      <c r="H77" s="445"/>
      <c r="I77" s="445"/>
      <c r="J77" s="749"/>
      <c r="K77" s="759">
        <f t="shared" si="11"/>
        <v>57.06</v>
      </c>
      <c r="L77" s="748"/>
      <c r="M77" s="445"/>
      <c r="N77" s="445"/>
      <c r="O77" s="768"/>
      <c r="P77" s="814">
        <v>57.06</v>
      </c>
    </row>
    <row r="78" spans="1:16" ht="47.25">
      <c r="A78" s="209" t="s">
        <v>773</v>
      </c>
      <c r="E78" s="714">
        <v>0</v>
      </c>
      <c r="F78" s="748"/>
      <c r="G78" s="445"/>
      <c r="H78" s="445"/>
      <c r="I78" s="445"/>
      <c r="J78" s="749"/>
      <c r="K78" s="759">
        <f t="shared" si="11"/>
        <v>50.35</v>
      </c>
      <c r="L78" s="748"/>
      <c r="M78" s="445"/>
      <c r="N78" s="445"/>
      <c r="O78" s="768"/>
      <c r="P78" s="814">
        <v>50.35</v>
      </c>
    </row>
    <row r="79" spans="1:16" ht="47.25">
      <c r="A79" s="209" t="s">
        <v>774</v>
      </c>
      <c r="E79" s="714">
        <v>0</v>
      </c>
      <c r="F79" s="748"/>
      <c r="G79" s="445"/>
      <c r="H79" s="445"/>
      <c r="I79" s="445"/>
      <c r="J79" s="749"/>
      <c r="K79" s="759">
        <f t="shared" si="11"/>
        <v>58.85</v>
      </c>
      <c r="L79" s="748"/>
      <c r="M79" s="445"/>
      <c r="N79" s="445"/>
      <c r="O79" s="768"/>
      <c r="P79" s="814">
        <v>58.85</v>
      </c>
    </row>
    <row r="80" spans="1:16" ht="47.25">
      <c r="A80" s="209" t="s">
        <v>775</v>
      </c>
      <c r="E80" s="714">
        <v>0</v>
      </c>
      <c r="F80" s="748"/>
      <c r="G80" s="445"/>
      <c r="H80" s="445"/>
      <c r="I80" s="445"/>
      <c r="J80" s="749"/>
      <c r="K80" s="759">
        <f t="shared" si="11"/>
        <v>95.34</v>
      </c>
      <c r="L80" s="748"/>
      <c r="M80" s="445"/>
      <c r="N80" s="445"/>
      <c r="O80" s="768"/>
      <c r="P80" s="814">
        <v>95.34</v>
      </c>
    </row>
    <row r="85" spans="1:16" ht="18">
      <c r="A85" s="700"/>
      <c r="B85" s="700"/>
      <c r="C85" s="700"/>
      <c r="D85" s="700"/>
      <c r="E85" s="891" t="s">
        <v>339</v>
      </c>
      <c r="F85" s="892"/>
      <c r="G85" s="892"/>
      <c r="H85" s="892"/>
      <c r="I85" s="892"/>
      <c r="J85" s="893"/>
      <c r="K85" s="891" t="s">
        <v>340</v>
      </c>
      <c r="L85" s="892"/>
      <c r="M85" s="892"/>
      <c r="N85" s="892"/>
      <c r="O85" s="892"/>
      <c r="P85" s="893"/>
    </row>
    <row r="86" spans="1:16" ht="68.25" thickBot="1">
      <c r="A86" s="694" t="s">
        <v>382</v>
      </c>
      <c r="B86" s="695" t="s">
        <v>168</v>
      </c>
      <c r="C86" s="695" t="s">
        <v>169</v>
      </c>
      <c r="D86" s="696" t="s">
        <v>170</v>
      </c>
      <c r="E86" s="697" t="s">
        <v>309</v>
      </c>
      <c r="F86" s="698" t="s">
        <v>172</v>
      </c>
      <c r="G86" s="699" t="s">
        <v>383</v>
      </c>
      <c r="H86" s="698" t="s">
        <v>753</v>
      </c>
      <c r="I86" s="698" t="s">
        <v>751</v>
      </c>
      <c r="J86" s="702" t="s">
        <v>752</v>
      </c>
      <c r="K86" s="697" t="s">
        <v>309</v>
      </c>
      <c r="L86" s="698" t="s">
        <v>172</v>
      </c>
      <c r="M86" s="703" t="s">
        <v>753</v>
      </c>
      <c r="N86" s="703" t="s">
        <v>751</v>
      </c>
      <c r="O86" s="701" t="s">
        <v>752</v>
      </c>
      <c r="P86" s="702" t="s">
        <v>149</v>
      </c>
    </row>
    <row r="87" spans="1:16" ht="42.75">
      <c r="A87" s="515" t="s">
        <v>754</v>
      </c>
      <c r="B87" s="520" t="e">
        <f>SUM(C87:D87)</f>
        <v>#REF!</v>
      </c>
      <c r="C87" s="595" t="e">
        <f>SUM(#REF!)</f>
        <v>#REF!</v>
      </c>
      <c r="D87" s="527">
        <f>SUM(D88:D90)</f>
        <v>57977.789600000004</v>
      </c>
      <c r="E87" s="713">
        <f>SUM(F87:J87)</f>
        <v>49133.72</v>
      </c>
      <c r="F87" s="596">
        <f>SUM(F88:F90)</f>
        <v>0</v>
      </c>
      <c r="G87" s="596">
        <f>SUM(G88:G90)</f>
        <v>0</v>
      </c>
      <c r="H87" s="596">
        <f>SUM(H88:H90)</f>
        <v>0</v>
      </c>
      <c r="I87" s="596">
        <f>SUM(I88:I90)</f>
        <v>0</v>
      </c>
      <c r="J87" s="690">
        <f>SUM(J88:J90)</f>
        <v>49133.72</v>
      </c>
      <c r="K87" s="758">
        <f>SUM(K88:K108)</f>
        <v>49133.72</v>
      </c>
      <c r="L87" s="687">
        <f>SUM(L88:L90)</f>
        <v>0</v>
      </c>
      <c r="M87" s="690">
        <f>SUM(M88:M90)</f>
        <v>0</v>
      </c>
      <c r="N87" s="690">
        <f>SUM(N88:N90)</f>
        <v>0</v>
      </c>
      <c r="O87" s="761">
        <f>SUM(O88:O90)</f>
        <v>49133.72</v>
      </c>
      <c r="P87" s="780">
        <v>0</v>
      </c>
    </row>
    <row r="88" spans="1:16" ht="47.25">
      <c r="A88" s="209" t="s">
        <v>722</v>
      </c>
      <c r="B88" s="520">
        <f>SUM(C88:D88)</f>
        <v>35535.2988</v>
      </c>
      <c r="C88" s="529"/>
      <c r="D88" s="522">
        <f>J88*1.18</f>
        <v>35535.2988</v>
      </c>
      <c r="E88" s="714">
        <f>SUM(F88:J88)</f>
        <v>30114.66</v>
      </c>
      <c r="F88" s="748"/>
      <c r="G88" s="720"/>
      <c r="H88" s="720"/>
      <c r="I88" s="720"/>
      <c r="J88" s="779">
        <v>30114.66</v>
      </c>
      <c r="K88" s="759">
        <f>SUM(M88:O88)</f>
        <v>33453.38</v>
      </c>
      <c r="L88" s="748"/>
      <c r="M88" s="720"/>
      <c r="N88" s="720"/>
      <c r="O88" s="768">
        <f>32155.11+1298.27</f>
        <v>33453.38</v>
      </c>
      <c r="P88" s="445"/>
    </row>
    <row r="89" spans="1:16" ht="47.25">
      <c r="A89" s="209" t="s">
        <v>723</v>
      </c>
      <c r="B89" s="520">
        <f>SUM(C89:D89)</f>
        <v>17089.6568</v>
      </c>
      <c r="C89" s="529"/>
      <c r="D89" s="522">
        <f>J89*1.18</f>
        <v>17089.6568</v>
      </c>
      <c r="E89" s="714">
        <f>SUM(F89:J89)</f>
        <v>14482.76</v>
      </c>
      <c r="F89" s="748"/>
      <c r="G89" s="720"/>
      <c r="H89" s="720"/>
      <c r="I89" s="720"/>
      <c r="J89" s="779">
        <v>14482.76</v>
      </c>
      <c r="K89" s="759">
        <f>SUM(M89:O89)</f>
        <v>12274.59</v>
      </c>
      <c r="L89" s="748"/>
      <c r="M89" s="720"/>
      <c r="N89" s="720"/>
      <c r="O89" s="768">
        <f>13572.86-1298.27</f>
        <v>12274.59</v>
      </c>
      <c r="P89" s="445"/>
    </row>
    <row r="90" spans="1:16" ht="47.25">
      <c r="A90" s="209" t="s">
        <v>705</v>
      </c>
      <c r="B90" s="520">
        <f>SUM(C90:D90)</f>
        <v>5352.834</v>
      </c>
      <c r="C90" s="529"/>
      <c r="D90" s="522">
        <f>J90*1.18</f>
        <v>5352.834</v>
      </c>
      <c r="E90" s="714">
        <f>SUM(F90:J90)</f>
        <v>4536.3</v>
      </c>
      <c r="F90" s="748"/>
      <c r="G90" s="720"/>
      <c r="H90" s="720"/>
      <c r="I90" s="720"/>
      <c r="J90" s="779">
        <v>4536.3</v>
      </c>
      <c r="K90" s="759">
        <f>SUM(M90:O90)</f>
        <v>3405.75</v>
      </c>
      <c r="L90" s="748"/>
      <c r="M90" s="720"/>
      <c r="N90" s="720"/>
      <c r="O90" s="768">
        <v>3405.75</v>
      </c>
      <c r="P90" s="445"/>
    </row>
    <row r="91" spans="10:15" ht="15.75">
      <c r="J91" s="395"/>
      <c r="O91" s="395"/>
    </row>
    <row r="92" spans="10:15" ht="15.75">
      <c r="J92" s="395"/>
      <c r="O92" s="395"/>
    </row>
    <row r="93" spans="10:15" ht="15.75">
      <c r="J93" s="395"/>
      <c r="O93" s="395"/>
    </row>
    <row r="94" spans="10:15" ht="15.75">
      <c r="J94" s="395"/>
      <c r="O94" s="395"/>
    </row>
    <row r="95" spans="10:15" ht="15.75">
      <c r="J95" s="395"/>
      <c r="O95" s="395"/>
    </row>
    <row r="96" spans="10:15" ht="15.75">
      <c r="J96" s="395"/>
      <c r="O96" s="395"/>
    </row>
    <row r="97" spans="10:15" ht="15.75">
      <c r="J97" s="395"/>
      <c r="O97" s="395"/>
    </row>
    <row r="98" spans="10:12" ht="15.75">
      <c r="J98" s="395"/>
      <c r="L98" s="803"/>
    </row>
    <row r="99" spans="5:16" ht="16.5" thickBot="1">
      <c r="E99" s="803" t="s">
        <v>787</v>
      </c>
      <c r="L99" s="809"/>
      <c r="M99" s="801"/>
      <c r="N99" s="801"/>
      <c r="O99" s="801"/>
      <c r="P99" s="801"/>
    </row>
    <row r="100" spans="5:16" ht="16.5" thickBot="1">
      <c r="E100" s="787"/>
      <c r="F100" s="792" t="s">
        <v>339</v>
      </c>
      <c r="G100" s="783"/>
      <c r="H100" s="790" t="s">
        <v>776</v>
      </c>
      <c r="I100" s="791" t="s">
        <v>777</v>
      </c>
      <c r="K100" s="801"/>
      <c r="L100" s="801"/>
      <c r="M100" s="13"/>
      <c r="N100" s="801"/>
      <c r="O100" s="13"/>
      <c r="P100" s="13"/>
    </row>
    <row r="101" spans="5:16" ht="15.75">
      <c r="E101" s="796" t="s">
        <v>778</v>
      </c>
      <c r="F101" s="793">
        <f>H5</f>
        <v>47584.326</v>
      </c>
      <c r="G101" s="788"/>
      <c r="H101" s="789">
        <f>M5</f>
        <v>45404.41</v>
      </c>
      <c r="I101" s="799">
        <f>F101-H101</f>
        <v>2179.9159999999974</v>
      </c>
      <c r="K101" s="13"/>
      <c r="L101" s="13"/>
      <c r="M101" s="810"/>
      <c r="N101" s="810"/>
      <c r="O101" s="810"/>
      <c r="P101" s="810"/>
    </row>
    <row r="102" spans="5:16" ht="15.75">
      <c r="E102" s="797" t="s">
        <v>783</v>
      </c>
      <c r="F102" s="794">
        <f>I5</f>
        <v>34001.884</v>
      </c>
      <c r="G102" s="445"/>
      <c r="H102" s="784">
        <f>N5</f>
        <v>31195.02</v>
      </c>
      <c r="I102" s="799">
        <f>F102-H102</f>
        <v>2806.8639999999978</v>
      </c>
      <c r="K102" s="13"/>
      <c r="L102" s="13"/>
      <c r="M102" s="810"/>
      <c r="N102" s="810"/>
      <c r="O102" s="810"/>
      <c r="P102" s="810"/>
    </row>
    <row r="103" spans="5:16" ht="15.75">
      <c r="E103" s="797" t="s">
        <v>383</v>
      </c>
      <c r="F103" s="794">
        <f>J5</f>
        <v>10000</v>
      </c>
      <c r="G103" s="445"/>
      <c r="H103" s="784">
        <f>O5</f>
        <v>1095.6</v>
      </c>
      <c r="I103" s="799">
        <f>F103-H103</f>
        <v>8904.4</v>
      </c>
      <c r="K103" s="13"/>
      <c r="L103" s="13"/>
      <c r="M103" s="810"/>
      <c r="N103" s="810"/>
      <c r="O103" s="810"/>
      <c r="P103" s="810"/>
    </row>
    <row r="104" spans="5:16" ht="15.75">
      <c r="E104" s="804"/>
      <c r="F104" s="805"/>
      <c r="G104" s="806"/>
      <c r="H104" s="807"/>
      <c r="I104" s="808"/>
      <c r="K104" s="802"/>
      <c r="L104" s="811"/>
      <c r="M104" s="812"/>
      <c r="N104" s="813"/>
      <c r="O104" s="810"/>
      <c r="P104" s="812"/>
    </row>
    <row r="105" spans="5:16" ht="16.5" thickBot="1">
      <c r="E105" s="786">
        <v>49133.72</v>
      </c>
      <c r="F105" s="795">
        <f>E87</f>
        <v>49133.72</v>
      </c>
      <c r="G105" s="782"/>
      <c r="H105" s="785">
        <f>O87</f>
        <v>49133.72</v>
      </c>
      <c r="I105" s="799">
        <f>F105-H105</f>
        <v>0</v>
      </c>
      <c r="K105" s="801"/>
      <c r="L105" s="801"/>
      <c r="M105" s="810"/>
      <c r="N105" s="810"/>
      <c r="O105" s="810"/>
      <c r="P105" s="810"/>
    </row>
    <row r="106" spans="5:16" ht="16.5" thickBot="1">
      <c r="E106" s="791" t="s">
        <v>652</v>
      </c>
      <c r="F106" s="798">
        <f>SUM(F101:F105)</f>
        <v>140719.93</v>
      </c>
      <c r="G106" s="783"/>
      <c r="H106" s="798">
        <f>SUM(H101:H103,H105)</f>
        <v>126828.75000000001</v>
      </c>
      <c r="I106" s="798">
        <f>SUM(I101:I103,I105)</f>
        <v>13891.179999999995</v>
      </c>
      <c r="K106" s="13"/>
      <c r="L106" s="13"/>
      <c r="M106" s="810"/>
      <c r="N106" s="810"/>
      <c r="O106" s="810"/>
      <c r="P106" s="810"/>
    </row>
    <row r="107" spans="12:16" ht="15.75">
      <c r="L107" s="801"/>
      <c r="M107" s="801"/>
      <c r="N107" s="801"/>
      <c r="O107" s="801"/>
      <c r="P107" s="801"/>
    </row>
    <row r="108" spans="12:16" ht="15.75">
      <c r="L108" s="801"/>
      <c r="M108" s="801"/>
      <c r="N108" s="801"/>
      <c r="O108" s="801"/>
      <c r="P108" s="801"/>
    </row>
    <row r="109" spans="5:16" ht="15.75">
      <c r="E109" s="803" t="s">
        <v>788</v>
      </c>
      <c r="L109" s="801"/>
      <c r="M109" s="801"/>
      <c r="N109" s="801"/>
      <c r="O109" s="801"/>
      <c r="P109" s="801"/>
    </row>
    <row r="110" spans="5:16" ht="16.5" thickBot="1">
      <c r="E110" s="803" t="s">
        <v>790</v>
      </c>
      <c r="L110" s="801"/>
      <c r="M110" s="801"/>
      <c r="N110" s="801"/>
      <c r="O110" s="801"/>
      <c r="P110" s="801"/>
    </row>
    <row r="111" spans="5:16" ht="16.5" thickBot="1">
      <c r="E111" s="787"/>
      <c r="F111" s="792" t="s">
        <v>339</v>
      </c>
      <c r="G111" s="783"/>
      <c r="H111" s="790" t="s">
        <v>776</v>
      </c>
      <c r="I111" s="791" t="s">
        <v>777</v>
      </c>
      <c r="L111" s="801"/>
      <c r="M111" s="801"/>
      <c r="N111" s="801"/>
      <c r="O111" s="801"/>
      <c r="P111" s="801"/>
    </row>
    <row r="112" spans="5:16" ht="15.75">
      <c r="E112" s="796" t="s">
        <v>778</v>
      </c>
      <c r="F112" s="793">
        <f>F101</f>
        <v>47584.326</v>
      </c>
      <c r="G112" s="788"/>
      <c r="H112" s="789">
        <f>H101</f>
        <v>45404.41</v>
      </c>
      <c r="I112" s="799">
        <f>F112-H112</f>
        <v>2179.9159999999974</v>
      </c>
      <c r="L112" s="801"/>
      <c r="M112" s="801"/>
      <c r="N112" s="801"/>
      <c r="O112" s="801"/>
      <c r="P112" s="801"/>
    </row>
    <row r="113" spans="5:16" ht="15.75">
      <c r="E113" s="797" t="s">
        <v>783</v>
      </c>
      <c r="F113" s="794">
        <f>F102</f>
        <v>34001.884</v>
      </c>
      <c r="G113" s="445"/>
      <c r="H113" s="784">
        <f>H102</f>
        <v>31195.02</v>
      </c>
      <c r="I113" s="799">
        <f>F113-H113</f>
        <v>2806.8639999999978</v>
      </c>
      <c r="L113" s="801"/>
      <c r="M113" s="801"/>
      <c r="N113" s="801"/>
      <c r="O113" s="801"/>
      <c r="P113" s="801"/>
    </row>
    <row r="114" spans="5:16" ht="15.75">
      <c r="E114" s="797" t="s">
        <v>383</v>
      </c>
      <c r="F114" s="794">
        <f>F103</f>
        <v>10000</v>
      </c>
      <c r="G114" s="445"/>
      <c r="H114" s="784">
        <f>H103+4576.28</f>
        <v>5671.879999999999</v>
      </c>
      <c r="I114" s="799">
        <f>F114-H114</f>
        <v>4328.120000000001</v>
      </c>
      <c r="L114" s="809"/>
      <c r="M114" s="801"/>
      <c r="N114" s="801"/>
      <c r="O114" s="801"/>
      <c r="P114" s="801"/>
    </row>
    <row r="115" spans="5:16" ht="15.75">
      <c r="E115" s="804"/>
      <c r="F115" s="805"/>
      <c r="G115" s="806"/>
      <c r="H115" s="807"/>
      <c r="I115" s="808"/>
      <c r="L115" s="801"/>
      <c r="M115" s="13"/>
      <c r="N115" s="801"/>
      <c r="O115" s="13"/>
      <c r="P115" s="13"/>
    </row>
    <row r="116" spans="5:16" ht="16.5" thickBot="1">
      <c r="E116" s="786">
        <v>49133.72</v>
      </c>
      <c r="F116" s="795">
        <f>F105</f>
        <v>49133.72</v>
      </c>
      <c r="G116" s="782"/>
      <c r="H116" s="785">
        <f>H105</f>
        <v>49133.72</v>
      </c>
      <c r="I116" s="799">
        <f>F116-H116</f>
        <v>0</v>
      </c>
      <c r="L116" s="13"/>
      <c r="M116" s="810"/>
      <c r="N116" s="801"/>
      <c r="O116" s="810"/>
      <c r="P116" s="810"/>
    </row>
    <row r="117" spans="5:16" ht="16.5" thickBot="1">
      <c r="E117" s="791" t="s">
        <v>652</v>
      </c>
      <c r="F117" s="798">
        <f>SUM(F112:F116)</f>
        <v>140719.93</v>
      </c>
      <c r="G117" s="783"/>
      <c r="H117" s="798">
        <f>SUM(H112:H114,H116)</f>
        <v>131405.03000000003</v>
      </c>
      <c r="I117" s="798">
        <f>SUM(I112:I114,I116)</f>
        <v>9314.899999999996</v>
      </c>
      <c r="L117" s="13"/>
      <c r="M117" s="810"/>
      <c r="N117" s="801"/>
      <c r="O117" s="810"/>
      <c r="P117" s="810"/>
    </row>
    <row r="118" spans="12:16" ht="15.75">
      <c r="L118" s="13"/>
      <c r="M118" s="810"/>
      <c r="N118" s="801"/>
      <c r="O118" s="810"/>
      <c r="P118" s="810"/>
    </row>
    <row r="119" spans="12:16" ht="15.75">
      <c r="L119" s="811"/>
      <c r="M119" s="812"/>
      <c r="N119" s="813"/>
      <c r="O119" s="812"/>
      <c r="P119" s="810"/>
    </row>
    <row r="120" spans="12:16" ht="15.75">
      <c r="L120" s="801"/>
      <c r="M120" s="810"/>
      <c r="N120" s="801"/>
      <c r="O120" s="810"/>
      <c r="P120" s="810"/>
    </row>
    <row r="121" spans="12:16" ht="15.75">
      <c r="L121" s="13"/>
      <c r="M121" s="810"/>
      <c r="N121" s="801"/>
      <c r="O121" s="810"/>
      <c r="P121" s="810"/>
    </row>
    <row r="122" spans="12:16" ht="15.75">
      <c r="L122" s="801"/>
      <c r="M122" s="801"/>
      <c r="N122" s="801"/>
      <c r="O122" s="801"/>
      <c r="P122" s="801"/>
    </row>
    <row r="123" spans="12:16" ht="15.75">
      <c r="L123" s="801"/>
      <c r="M123" s="801"/>
      <c r="N123" s="801"/>
      <c r="O123" s="801"/>
      <c r="P123" s="801"/>
    </row>
    <row r="124" spans="12:16" ht="15.75">
      <c r="L124" s="818"/>
      <c r="M124" s="801"/>
      <c r="N124" s="801"/>
      <c r="O124" s="801"/>
      <c r="P124" s="801"/>
    </row>
    <row r="125" spans="12:16" ht="15.75">
      <c r="L125" s="809"/>
      <c r="M125" s="801"/>
      <c r="N125" s="801"/>
      <c r="O125" s="801"/>
      <c r="P125" s="801"/>
    </row>
    <row r="126" spans="12:16" ht="15.75">
      <c r="L126" s="801"/>
      <c r="M126" s="13"/>
      <c r="N126" s="801"/>
      <c r="O126" s="13"/>
      <c r="P126" s="13"/>
    </row>
    <row r="127" spans="12:16" ht="15.75">
      <c r="L127" s="13"/>
      <c r="M127" s="810"/>
      <c r="N127" s="801"/>
      <c r="O127" s="810"/>
      <c r="P127" s="810"/>
    </row>
    <row r="128" spans="12:16" ht="15.75">
      <c r="L128" s="13"/>
      <c r="M128" s="810"/>
      <c r="N128" s="801"/>
      <c r="O128" s="810"/>
      <c r="P128" s="810"/>
    </row>
    <row r="129" spans="12:16" ht="15.75">
      <c r="L129" s="13"/>
      <c r="M129" s="810"/>
      <c r="N129" s="801"/>
      <c r="O129" s="810"/>
      <c r="P129" s="810"/>
    </row>
    <row r="130" spans="12:16" ht="15.75">
      <c r="L130" s="811"/>
      <c r="M130" s="812"/>
      <c r="N130" s="813"/>
      <c r="O130" s="812"/>
      <c r="P130" s="810"/>
    </row>
    <row r="131" spans="12:16" ht="15.75">
      <c r="L131" s="811"/>
      <c r="M131" s="812"/>
      <c r="N131" s="813"/>
      <c r="O131" s="812"/>
      <c r="P131" s="810"/>
    </row>
    <row r="132" spans="12:16" ht="15.75">
      <c r="L132" s="801"/>
      <c r="M132" s="810"/>
      <c r="N132" s="801"/>
      <c r="O132" s="810"/>
      <c r="P132" s="810"/>
    </row>
    <row r="133" spans="12:16" ht="15.75">
      <c r="L133" s="13"/>
      <c r="M133" s="810"/>
      <c r="N133" s="801"/>
      <c r="O133" s="810"/>
      <c r="P133" s="810"/>
    </row>
    <row r="134" spans="12:16" ht="15.75">
      <c r="L134" s="801"/>
      <c r="M134" s="801"/>
      <c r="N134" s="801"/>
      <c r="O134" s="801"/>
      <c r="P134" s="801"/>
    </row>
  </sheetData>
  <sheetProtection/>
  <protectedRanges>
    <protectedRange sqref="A33" name="Диапазон1_91_6_5_3"/>
    <protectedRange sqref="A30" name="Диапазон1_91_2_2_2_3"/>
  </protectedRanges>
  <mergeCells count="5">
    <mergeCell ref="A1:O2"/>
    <mergeCell ref="E3:J3"/>
    <mergeCell ref="K3:P3"/>
    <mergeCell ref="E85:J85"/>
    <mergeCell ref="K85:P85"/>
  </mergeCells>
  <printOptions/>
  <pageMargins left="0.5905511811023623" right="0" top="0.1968503937007874" bottom="0.1968503937007874" header="0" footer="0"/>
  <pageSetup fitToHeight="0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P38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497</v>
      </c>
    </row>
    <row r="2" ht="15.75">
      <c r="C2" s="4" t="s">
        <v>292</v>
      </c>
    </row>
    <row r="3" ht="15.75">
      <c r="C3" s="4" t="s">
        <v>70</v>
      </c>
    </row>
    <row r="4" ht="15.75">
      <c r="C4" s="4"/>
    </row>
    <row r="5" spans="1:16" ht="42.75" customHeight="1">
      <c r="A5" s="975" t="s">
        <v>543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1:5" ht="15.75">
      <c r="A7" s="511" t="s">
        <v>154</v>
      </c>
      <c r="B7" s="512"/>
      <c r="C7" s="258" t="s">
        <v>293</v>
      </c>
      <c r="D7" s="258"/>
      <c r="E7" s="4"/>
    </row>
    <row r="8" spans="1:5" ht="15.75">
      <c r="A8" s="511" t="s">
        <v>155</v>
      </c>
      <c r="B8" s="511"/>
      <c r="C8" s="258" t="s">
        <v>568</v>
      </c>
      <c r="D8" s="258"/>
      <c r="E8" s="4"/>
    </row>
    <row r="9" spans="1:5" ht="15.75">
      <c r="A9" s="511" t="s">
        <v>156</v>
      </c>
      <c r="B9" s="512"/>
      <c r="C9" s="258" t="s">
        <v>569</v>
      </c>
      <c r="D9" s="258"/>
      <c r="E9" s="4"/>
    </row>
    <row r="10" spans="1:4" ht="15.75">
      <c r="A10" s="511" t="s">
        <v>44</v>
      </c>
      <c r="B10" s="512"/>
      <c r="D10" s="315"/>
    </row>
    <row r="11" spans="1:3" ht="15.75">
      <c r="A11" s="511" t="s">
        <v>45</v>
      </c>
      <c r="B11" s="512"/>
      <c r="C11" s="316" t="s">
        <v>167</v>
      </c>
    </row>
    <row r="12" spans="1:4" ht="19.5" customHeight="1">
      <c r="A12" s="511" t="s">
        <v>46</v>
      </c>
      <c r="B12" s="512"/>
      <c r="C12" s="307" t="s">
        <v>69</v>
      </c>
      <c r="D12" s="258"/>
    </row>
    <row r="14" ht="15.75">
      <c r="A14" s="18" t="s">
        <v>458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104">
        <v>2</v>
      </c>
      <c r="B17" s="114" t="s">
        <v>200</v>
      </c>
      <c r="C17" s="115"/>
    </row>
    <row r="18" spans="1:3" ht="31.5">
      <c r="A18" s="104" t="s">
        <v>615</v>
      </c>
      <c r="B18" s="105" t="s">
        <v>450</v>
      </c>
      <c r="C18" s="30" t="s">
        <v>199</v>
      </c>
    </row>
    <row r="19" spans="1:3" ht="15.75">
      <c r="A19" s="104" t="s">
        <v>616</v>
      </c>
      <c r="B19" s="105" t="s">
        <v>459</v>
      </c>
      <c r="C19" s="30" t="s">
        <v>199</v>
      </c>
    </row>
    <row r="20" spans="1:3" ht="31.5">
      <c r="A20" s="104">
        <v>3</v>
      </c>
      <c r="B20" s="114" t="s">
        <v>217</v>
      </c>
      <c r="C20" s="115"/>
    </row>
    <row r="21" spans="1:3" ht="15.75">
      <c r="A21" s="104" t="s">
        <v>202</v>
      </c>
      <c r="B21" s="105" t="s">
        <v>219</v>
      </c>
      <c r="C21" s="30" t="s">
        <v>199</v>
      </c>
    </row>
    <row r="22" spans="1:3" ht="15.75">
      <c r="A22" s="104" t="s">
        <v>203</v>
      </c>
      <c r="B22" s="105" t="s">
        <v>220</v>
      </c>
      <c r="C22" s="30" t="s">
        <v>198</v>
      </c>
    </row>
    <row r="23" spans="1:3" ht="15.75">
      <c r="A23" s="104" t="s">
        <v>221</v>
      </c>
      <c r="B23" s="105" t="s">
        <v>222</v>
      </c>
      <c r="C23" s="30" t="s">
        <v>198</v>
      </c>
    </row>
    <row r="24" spans="1:3" ht="15.75">
      <c r="A24" s="104" t="s">
        <v>223</v>
      </c>
      <c r="B24" s="105" t="s">
        <v>456</v>
      </c>
      <c r="C24" s="30" t="s">
        <v>199</v>
      </c>
    </row>
    <row r="25" spans="1:3" ht="15.75">
      <c r="A25" s="104">
        <v>4</v>
      </c>
      <c r="B25" s="114" t="s">
        <v>205</v>
      </c>
      <c r="C25" s="115"/>
    </row>
    <row r="26" spans="1:3" ht="15.75">
      <c r="A26" s="104" t="s">
        <v>619</v>
      </c>
      <c r="B26" s="105" t="s">
        <v>225</v>
      </c>
      <c r="C26" s="30" t="s">
        <v>198</v>
      </c>
    </row>
    <row r="27" spans="1:3" ht="31.5">
      <c r="A27" s="104" t="s">
        <v>620</v>
      </c>
      <c r="B27" s="105" t="s">
        <v>226</v>
      </c>
      <c r="C27" s="30" t="s">
        <v>199</v>
      </c>
    </row>
    <row r="28" spans="1:3" ht="16.5" thickBot="1">
      <c r="A28" s="106" t="s">
        <v>621</v>
      </c>
      <c r="B28" s="107" t="s">
        <v>227</v>
      </c>
      <c r="C28" s="32" t="s">
        <v>199</v>
      </c>
    </row>
    <row r="29" spans="1:3" ht="16.5" thickBot="1">
      <c r="A29" s="106" t="s">
        <v>91</v>
      </c>
      <c r="B29" s="107" t="s">
        <v>231</v>
      </c>
      <c r="C29" s="32" t="s">
        <v>199</v>
      </c>
    </row>
    <row r="32" spans="1:7" ht="15.75">
      <c r="A32" s="899"/>
      <c r="B32" s="899"/>
      <c r="C32" s="899"/>
      <c r="D32" s="899"/>
      <c r="E32" s="899"/>
      <c r="F32" s="899"/>
      <c r="G32" s="576"/>
    </row>
    <row r="33" spans="1:7" ht="15.75">
      <c r="A33" s="568"/>
      <c r="B33" s="568"/>
      <c r="C33" s="568"/>
      <c r="D33" s="568"/>
      <c r="E33" s="586"/>
      <c r="F33" s="568"/>
      <c r="G33" s="576"/>
    </row>
    <row r="34" spans="1:7" ht="15.75">
      <c r="A34" s="568"/>
      <c r="B34" s="568"/>
      <c r="C34" s="568"/>
      <c r="D34" s="568"/>
      <c r="E34" s="586"/>
      <c r="F34" s="568"/>
      <c r="G34" s="576"/>
    </row>
    <row r="35" spans="1:7" ht="15.75">
      <c r="A35" s="568"/>
      <c r="B35" s="568"/>
      <c r="C35" s="568"/>
      <c r="D35" s="568"/>
      <c r="E35" s="586"/>
      <c r="F35" s="568"/>
      <c r="G35" s="576"/>
    </row>
    <row r="36" spans="1:7" ht="15.75">
      <c r="A36" s="899"/>
      <c r="B36" s="899"/>
      <c r="C36" s="899"/>
      <c r="D36" s="899"/>
      <c r="E36" s="586"/>
      <c r="F36" s="566"/>
      <c r="G36" s="576"/>
    </row>
    <row r="37" spans="1:7" ht="15.75">
      <c r="A37" s="572"/>
      <c r="B37" s="572"/>
      <c r="C37" s="572"/>
      <c r="D37" s="572"/>
      <c r="E37" s="572"/>
      <c r="F37" s="572"/>
      <c r="G37" s="576"/>
    </row>
    <row r="38" spans="1:7" ht="15.75">
      <c r="A38" s="899"/>
      <c r="B38" s="899"/>
      <c r="C38" s="899"/>
      <c r="D38" s="899"/>
      <c r="E38" s="586"/>
      <c r="F38" s="566"/>
      <c r="G38" s="576"/>
    </row>
  </sheetData>
  <sheetProtection/>
  <mergeCells count="8">
    <mergeCell ref="A38:B38"/>
    <mergeCell ref="C38:D38"/>
    <mergeCell ref="A5:C5"/>
    <mergeCell ref="A32:B32"/>
    <mergeCell ref="C32:D32"/>
    <mergeCell ref="E32:F32"/>
    <mergeCell ref="A36:B36"/>
    <mergeCell ref="C36:D36"/>
  </mergeCells>
  <printOptions/>
  <pageMargins left="0.3937007874015748" right="0" top="0.3937007874015748" bottom="0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P40"/>
  <sheetViews>
    <sheetView zoomScalePageLayoutView="0" workbookViewId="0" topLeftCell="A7">
      <selection activeCell="A8" sqref="A8:C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497</v>
      </c>
    </row>
    <row r="2" ht="15.75">
      <c r="C2" s="4" t="s">
        <v>292</v>
      </c>
    </row>
    <row r="3" ht="15.75">
      <c r="C3" s="4" t="s">
        <v>70</v>
      </c>
    </row>
    <row r="4" ht="15.75">
      <c r="C4" s="4"/>
    </row>
    <row r="5" spans="1:16" ht="42.75" customHeight="1">
      <c r="A5" s="975" t="s">
        <v>543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1:5" ht="15.75">
      <c r="A7" s="511" t="s">
        <v>154</v>
      </c>
      <c r="B7" s="512"/>
      <c r="C7" s="258" t="s">
        <v>293</v>
      </c>
      <c r="D7" s="258"/>
      <c r="E7" s="4"/>
    </row>
    <row r="8" spans="1:5" ht="15.75">
      <c r="A8" s="511" t="s">
        <v>155</v>
      </c>
      <c r="B8" s="511"/>
      <c r="C8" s="258" t="s">
        <v>568</v>
      </c>
      <c r="D8" s="258"/>
      <c r="E8" s="4"/>
    </row>
    <row r="9" spans="1:5" ht="15.75">
      <c r="A9" s="511" t="s">
        <v>156</v>
      </c>
      <c r="B9" s="512"/>
      <c r="C9" s="258" t="s">
        <v>569</v>
      </c>
      <c r="D9" s="258"/>
      <c r="E9" s="4"/>
    </row>
    <row r="10" spans="1:4" ht="15.75">
      <c r="A10" s="511" t="s">
        <v>44</v>
      </c>
      <c r="B10" s="512"/>
      <c r="D10" s="315"/>
    </row>
    <row r="11" spans="1:3" ht="15.75">
      <c r="A11" s="511" t="s">
        <v>45</v>
      </c>
      <c r="B11" s="512"/>
      <c r="C11" s="316" t="s">
        <v>167</v>
      </c>
    </row>
    <row r="12" spans="1:4" ht="20.25" customHeight="1">
      <c r="A12" s="511" t="s">
        <v>46</v>
      </c>
      <c r="B12" s="512"/>
      <c r="C12" s="307" t="s">
        <v>69</v>
      </c>
      <c r="D12" s="258"/>
    </row>
    <row r="14" ht="15.75">
      <c r="A14" s="18" t="s">
        <v>460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104">
        <v>2</v>
      </c>
      <c r="B17" s="114" t="s">
        <v>200</v>
      </c>
      <c r="C17" s="115"/>
    </row>
    <row r="18" spans="1:3" ht="31.5">
      <c r="A18" s="104" t="s">
        <v>615</v>
      </c>
      <c r="B18" s="105" t="s">
        <v>450</v>
      </c>
      <c r="C18" s="30" t="s">
        <v>199</v>
      </c>
    </row>
    <row r="19" spans="1:3" ht="31.5">
      <c r="A19" s="104" t="s">
        <v>616</v>
      </c>
      <c r="B19" s="105" t="s">
        <v>451</v>
      </c>
      <c r="C19" s="30" t="s">
        <v>199</v>
      </c>
    </row>
    <row r="20" spans="1:3" ht="15.75">
      <c r="A20" s="104" t="s">
        <v>617</v>
      </c>
      <c r="B20" s="105" t="s">
        <v>216</v>
      </c>
      <c r="C20" s="30" t="s">
        <v>199</v>
      </c>
    </row>
    <row r="21" spans="1:3" ht="15.75">
      <c r="A21" s="104">
        <v>3</v>
      </c>
      <c r="B21" s="114" t="s">
        <v>452</v>
      </c>
      <c r="C21" s="115"/>
    </row>
    <row r="22" spans="1:3" ht="15.75">
      <c r="A22" s="104" t="s">
        <v>201</v>
      </c>
      <c r="B22" s="105" t="s">
        <v>453</v>
      </c>
      <c r="C22" s="30" t="s">
        <v>198</v>
      </c>
    </row>
    <row r="23" spans="1:3" ht="15.75">
      <c r="A23" s="104" t="s">
        <v>202</v>
      </c>
      <c r="B23" s="105" t="s">
        <v>454</v>
      </c>
      <c r="C23" s="30" t="s">
        <v>199</v>
      </c>
    </row>
    <row r="24" spans="1:3" ht="15.75">
      <c r="A24" s="104" t="s">
        <v>203</v>
      </c>
      <c r="B24" s="105" t="s">
        <v>455</v>
      </c>
      <c r="C24" s="30" t="s">
        <v>198</v>
      </c>
    </row>
    <row r="25" spans="1:3" ht="15.75">
      <c r="A25" s="104" t="s">
        <v>221</v>
      </c>
      <c r="B25" s="105" t="s">
        <v>222</v>
      </c>
      <c r="C25" s="30" t="s">
        <v>198</v>
      </c>
    </row>
    <row r="26" spans="1:3" ht="15.75">
      <c r="A26" s="104" t="s">
        <v>223</v>
      </c>
      <c r="B26" s="105" t="s">
        <v>456</v>
      </c>
      <c r="C26" s="30" t="s">
        <v>199</v>
      </c>
    </row>
    <row r="27" spans="1:3" ht="15.75">
      <c r="A27" s="104">
        <v>4</v>
      </c>
      <c r="B27" s="114" t="s">
        <v>205</v>
      </c>
      <c r="C27" s="115"/>
    </row>
    <row r="28" spans="1:3" ht="15.75">
      <c r="A28" s="104" t="s">
        <v>619</v>
      </c>
      <c r="B28" s="105" t="s">
        <v>225</v>
      </c>
      <c r="C28" s="30" t="s">
        <v>198</v>
      </c>
    </row>
    <row r="29" spans="1:3" ht="30.75" customHeight="1">
      <c r="A29" s="104" t="s">
        <v>620</v>
      </c>
      <c r="B29" s="105" t="s">
        <v>226</v>
      </c>
      <c r="C29" s="30" t="s">
        <v>199</v>
      </c>
    </row>
    <row r="30" spans="1:3" ht="16.5" thickBot="1">
      <c r="A30" s="106" t="s">
        <v>621</v>
      </c>
      <c r="B30" s="107" t="s">
        <v>227</v>
      </c>
      <c r="C30" s="32" t="s">
        <v>199</v>
      </c>
    </row>
    <row r="31" spans="1:3" ht="16.5" thickBot="1">
      <c r="A31" s="106" t="s">
        <v>91</v>
      </c>
      <c r="B31" s="107" t="s">
        <v>457</v>
      </c>
      <c r="C31" s="32" t="s">
        <v>199</v>
      </c>
    </row>
    <row r="34" spans="1:7" ht="15.75">
      <c r="A34" s="899"/>
      <c r="B34" s="899"/>
      <c r="C34" s="899"/>
      <c r="D34" s="899"/>
      <c r="E34" s="899"/>
      <c r="F34" s="899"/>
      <c r="G34" s="576"/>
    </row>
    <row r="35" spans="1:7" ht="15.75">
      <c r="A35" s="568"/>
      <c r="B35" s="568"/>
      <c r="C35" s="568"/>
      <c r="D35" s="568"/>
      <c r="E35" s="586"/>
      <c r="F35" s="568"/>
      <c r="G35" s="576"/>
    </row>
    <row r="36" spans="1:7" ht="15.75">
      <c r="A36" s="568"/>
      <c r="B36" s="568"/>
      <c r="C36" s="568"/>
      <c r="D36" s="568"/>
      <c r="E36" s="586"/>
      <c r="F36" s="568"/>
      <c r="G36" s="576"/>
    </row>
    <row r="37" spans="1:7" ht="15.75">
      <c r="A37" s="568"/>
      <c r="B37" s="568"/>
      <c r="C37" s="568"/>
      <c r="D37" s="568"/>
      <c r="E37" s="586"/>
      <c r="F37" s="568"/>
      <c r="G37" s="576"/>
    </row>
    <row r="38" spans="1:7" ht="15.75">
      <c r="A38" s="899"/>
      <c r="B38" s="899"/>
      <c r="C38" s="899"/>
      <c r="D38" s="899"/>
      <c r="E38" s="586"/>
      <c r="F38" s="566"/>
      <c r="G38" s="576"/>
    </row>
    <row r="39" spans="1:7" ht="15.75">
      <c r="A39" s="572"/>
      <c r="B39" s="572"/>
      <c r="C39" s="572"/>
      <c r="D39" s="572"/>
      <c r="E39" s="572"/>
      <c r="F39" s="572"/>
      <c r="G39" s="576"/>
    </row>
    <row r="40" spans="1:7" ht="15.75">
      <c r="A40" s="899"/>
      <c r="B40" s="899"/>
      <c r="C40" s="899"/>
      <c r="D40" s="899"/>
      <c r="E40" s="586"/>
      <c r="F40" s="566"/>
      <c r="G40" s="576"/>
    </row>
  </sheetData>
  <sheetProtection/>
  <mergeCells count="8">
    <mergeCell ref="A40:B40"/>
    <mergeCell ref="C40:D40"/>
    <mergeCell ref="A5:C5"/>
    <mergeCell ref="A34:B34"/>
    <mergeCell ref="C34:D34"/>
    <mergeCell ref="E34:F34"/>
    <mergeCell ref="A38:B38"/>
    <mergeCell ref="C38:D38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P47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497</v>
      </c>
    </row>
    <row r="2" ht="15.75">
      <c r="C2" s="4" t="s">
        <v>292</v>
      </c>
    </row>
    <row r="3" ht="15.75">
      <c r="C3" s="4" t="s">
        <v>70</v>
      </c>
    </row>
    <row r="4" ht="15.75">
      <c r="C4" s="4"/>
    </row>
    <row r="5" spans="1:16" ht="42.75" customHeight="1">
      <c r="A5" s="975" t="s">
        <v>543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1:5" ht="15.75">
      <c r="A7" s="511" t="s">
        <v>154</v>
      </c>
      <c r="B7" s="512"/>
      <c r="C7" s="258" t="s">
        <v>154</v>
      </c>
      <c r="D7" s="258"/>
      <c r="E7" s="4"/>
    </row>
    <row r="8" spans="1:5" ht="15.75">
      <c r="A8" s="511" t="s">
        <v>155</v>
      </c>
      <c r="B8" s="511"/>
      <c r="C8" s="258" t="s">
        <v>568</v>
      </c>
      <c r="D8" s="258"/>
      <c r="E8" s="4"/>
    </row>
    <row r="9" spans="1:5" ht="15.75">
      <c r="A9" s="511" t="s">
        <v>156</v>
      </c>
      <c r="B9" s="512"/>
      <c r="C9" s="258" t="s">
        <v>569</v>
      </c>
      <c r="D9" s="258"/>
      <c r="E9" s="4"/>
    </row>
    <row r="10" spans="1:4" ht="15.75">
      <c r="A10" s="511" t="s">
        <v>44</v>
      </c>
      <c r="B10" s="512"/>
      <c r="D10" s="315"/>
    </row>
    <row r="11" spans="1:3" ht="15.75">
      <c r="A11" s="511" t="s">
        <v>45</v>
      </c>
      <c r="B11" s="512"/>
      <c r="C11" s="316" t="s">
        <v>167</v>
      </c>
    </row>
    <row r="12" spans="1:4" ht="21.75" customHeight="1">
      <c r="A12" s="511" t="s">
        <v>46</v>
      </c>
      <c r="B12" s="512"/>
      <c r="C12" s="307" t="s">
        <v>69</v>
      </c>
      <c r="D12" s="258"/>
    </row>
    <row r="14" ht="15.75">
      <c r="A14" s="18" t="s">
        <v>461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103">
        <v>1</v>
      </c>
      <c r="B17" s="111" t="s">
        <v>206</v>
      </c>
      <c r="C17" s="112"/>
    </row>
    <row r="18" spans="1:3" ht="15.75">
      <c r="A18" s="104" t="s">
        <v>612</v>
      </c>
      <c r="B18" s="113" t="s">
        <v>207</v>
      </c>
      <c r="C18" s="30" t="s">
        <v>199</v>
      </c>
    </row>
    <row r="19" spans="1:3" ht="15.75">
      <c r="A19" s="104" t="s">
        <v>613</v>
      </c>
      <c r="B19" s="113" t="s">
        <v>208</v>
      </c>
      <c r="C19" s="30" t="s">
        <v>199</v>
      </c>
    </row>
    <row r="20" spans="1:3" ht="15.75">
      <c r="A20" s="104" t="s">
        <v>623</v>
      </c>
      <c r="B20" s="105" t="s">
        <v>462</v>
      </c>
      <c r="C20" s="30" t="s">
        <v>199</v>
      </c>
    </row>
    <row r="21" spans="1:3" ht="31.5">
      <c r="A21" s="104" t="s">
        <v>640</v>
      </c>
      <c r="B21" s="105" t="s">
        <v>209</v>
      </c>
      <c r="C21" s="30" t="s">
        <v>199</v>
      </c>
    </row>
    <row r="22" spans="1:3" ht="15.75">
      <c r="A22" s="104" t="s">
        <v>210</v>
      </c>
      <c r="B22" s="105" t="s">
        <v>211</v>
      </c>
      <c r="C22" s="30" t="s">
        <v>199</v>
      </c>
    </row>
    <row r="23" spans="1:3" ht="15.75">
      <c r="A23" s="104" t="s">
        <v>212</v>
      </c>
      <c r="B23" s="105" t="s">
        <v>213</v>
      </c>
      <c r="C23" s="30" t="s">
        <v>198</v>
      </c>
    </row>
    <row r="24" spans="1:3" ht="15.75">
      <c r="A24" s="104">
        <v>2</v>
      </c>
      <c r="B24" s="114" t="s">
        <v>200</v>
      </c>
      <c r="C24" s="115"/>
    </row>
    <row r="25" spans="1:3" ht="15.75">
      <c r="A25" s="104" t="s">
        <v>615</v>
      </c>
      <c r="B25" s="105" t="s">
        <v>214</v>
      </c>
      <c r="C25" s="30" t="s">
        <v>199</v>
      </c>
    </row>
    <row r="26" spans="1:3" ht="31.5">
      <c r="A26" s="104" t="s">
        <v>616</v>
      </c>
      <c r="B26" s="105" t="s">
        <v>215</v>
      </c>
      <c r="C26" s="30" t="s">
        <v>199</v>
      </c>
    </row>
    <row r="27" spans="1:3" ht="31.5">
      <c r="A27" s="104" t="s">
        <v>617</v>
      </c>
      <c r="B27" s="105" t="s">
        <v>216</v>
      </c>
      <c r="C27" s="30" t="s">
        <v>199</v>
      </c>
    </row>
    <row r="28" spans="1:3" ht="15.75">
      <c r="A28" s="104">
        <v>3</v>
      </c>
      <c r="B28" s="114" t="s">
        <v>463</v>
      </c>
      <c r="C28" s="115"/>
    </row>
    <row r="29" spans="1:3" ht="30.75" customHeight="1">
      <c r="A29" s="104" t="s">
        <v>201</v>
      </c>
      <c r="B29" s="105" t="s">
        <v>218</v>
      </c>
      <c r="C29" s="30" t="s">
        <v>198</v>
      </c>
    </row>
    <row r="30" spans="1:3" ht="15.75">
      <c r="A30" s="104" t="s">
        <v>202</v>
      </c>
      <c r="B30" s="105" t="s">
        <v>219</v>
      </c>
      <c r="C30" s="30" t="s">
        <v>199</v>
      </c>
    </row>
    <row r="31" spans="1:3" ht="15.75">
      <c r="A31" s="104" t="s">
        <v>203</v>
      </c>
      <c r="B31" s="105" t="s">
        <v>220</v>
      </c>
      <c r="C31" s="30" t="s">
        <v>198</v>
      </c>
    </row>
    <row r="32" spans="1:3" ht="15.75">
      <c r="A32" s="104" t="s">
        <v>221</v>
      </c>
      <c r="B32" s="105" t="s">
        <v>222</v>
      </c>
      <c r="C32" s="30" t="s">
        <v>198</v>
      </c>
    </row>
    <row r="33" spans="1:3" ht="15.75">
      <c r="A33" s="104" t="s">
        <v>223</v>
      </c>
      <c r="B33" s="105" t="s">
        <v>224</v>
      </c>
      <c r="C33" s="30" t="s">
        <v>199</v>
      </c>
    </row>
    <row r="34" spans="1:3" ht="15.75">
      <c r="A34" s="104">
        <v>4</v>
      </c>
      <c r="B34" s="114" t="s">
        <v>205</v>
      </c>
      <c r="C34" s="115"/>
    </row>
    <row r="35" spans="1:3" ht="15.75">
      <c r="A35" s="104" t="s">
        <v>619</v>
      </c>
      <c r="B35" s="105" t="s">
        <v>225</v>
      </c>
      <c r="C35" s="30" t="s">
        <v>198</v>
      </c>
    </row>
    <row r="36" spans="1:3" ht="31.5">
      <c r="A36" s="104" t="s">
        <v>620</v>
      </c>
      <c r="B36" s="105" t="s">
        <v>226</v>
      </c>
      <c r="C36" s="30" t="s">
        <v>199</v>
      </c>
    </row>
    <row r="37" spans="1:3" ht="16.5" thickBot="1">
      <c r="A37" s="106" t="s">
        <v>621</v>
      </c>
      <c r="B37" s="107" t="s">
        <v>227</v>
      </c>
      <c r="C37" s="32" t="s">
        <v>199</v>
      </c>
    </row>
    <row r="38" spans="1:3" ht="16.5" thickBot="1">
      <c r="A38" s="106" t="s">
        <v>91</v>
      </c>
      <c r="B38" s="107" t="s">
        <v>231</v>
      </c>
      <c r="C38" s="32" t="s">
        <v>199</v>
      </c>
    </row>
    <row r="41" spans="1:7" ht="15.75">
      <c r="A41" s="899"/>
      <c r="B41" s="899"/>
      <c r="C41" s="899"/>
      <c r="D41" s="899"/>
      <c r="E41" s="899"/>
      <c r="F41" s="899"/>
      <c r="G41" s="576"/>
    </row>
    <row r="42" spans="1:7" ht="15.75">
      <c r="A42" s="568"/>
      <c r="B42" s="568"/>
      <c r="C42" s="568"/>
      <c r="D42" s="568"/>
      <c r="E42" s="586"/>
      <c r="F42" s="568"/>
      <c r="G42" s="576"/>
    </row>
    <row r="43" spans="1:7" ht="15.75">
      <c r="A43" s="568"/>
      <c r="B43" s="568"/>
      <c r="C43" s="568"/>
      <c r="D43" s="568"/>
      <c r="E43" s="586"/>
      <c r="F43" s="568"/>
      <c r="G43" s="576"/>
    </row>
    <row r="44" spans="1:7" ht="15.75">
      <c r="A44" s="568"/>
      <c r="B44" s="568"/>
      <c r="C44" s="568"/>
      <c r="D44" s="568"/>
      <c r="E44" s="586"/>
      <c r="F44" s="568"/>
      <c r="G44" s="576"/>
    </row>
    <row r="45" spans="1:7" ht="15.75">
      <c r="A45" s="899"/>
      <c r="B45" s="899"/>
      <c r="C45" s="899"/>
      <c r="D45" s="899"/>
      <c r="E45" s="586"/>
      <c r="F45" s="566"/>
      <c r="G45" s="576"/>
    </row>
    <row r="46" spans="1:7" ht="15.75">
      <c r="A46" s="572"/>
      <c r="B46" s="572"/>
      <c r="C46" s="572"/>
      <c r="D46" s="572"/>
      <c r="E46" s="572"/>
      <c r="F46" s="572"/>
      <c r="G46" s="576"/>
    </row>
    <row r="47" spans="1:7" ht="15.75">
      <c r="A47" s="899"/>
      <c r="B47" s="899"/>
      <c r="C47" s="899"/>
      <c r="D47" s="899"/>
      <c r="E47" s="586"/>
      <c r="F47" s="566"/>
      <c r="G47" s="576"/>
    </row>
  </sheetData>
  <sheetProtection/>
  <mergeCells count="8">
    <mergeCell ref="A47:B47"/>
    <mergeCell ref="C47:D47"/>
    <mergeCell ref="A5:C5"/>
    <mergeCell ref="A41:B41"/>
    <mergeCell ref="C41:D41"/>
    <mergeCell ref="E41:F41"/>
    <mergeCell ref="A45:B45"/>
    <mergeCell ref="C45:D45"/>
  </mergeCells>
  <printOptions/>
  <pageMargins left="0.5905511811023623" right="0" top="0.3937007874015748" bottom="0.1968503937007874" header="0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P32"/>
  <sheetViews>
    <sheetView zoomScalePageLayoutView="0" workbookViewId="0" topLeftCell="A4">
      <selection activeCell="A8" sqref="A8:C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497</v>
      </c>
    </row>
    <row r="2" ht="15.75">
      <c r="C2" s="4" t="s">
        <v>292</v>
      </c>
    </row>
    <row r="3" ht="15.75">
      <c r="C3" s="4" t="s">
        <v>70</v>
      </c>
    </row>
    <row r="4" ht="15.75">
      <c r="C4" s="4"/>
    </row>
    <row r="5" spans="1:16" ht="42.75" customHeight="1">
      <c r="A5" s="975" t="s">
        <v>543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1:5" ht="15.75">
      <c r="A7" s="511" t="s">
        <v>154</v>
      </c>
      <c r="B7" s="512"/>
      <c r="C7" s="258" t="s">
        <v>293</v>
      </c>
      <c r="D7" s="258"/>
      <c r="E7" s="4"/>
    </row>
    <row r="8" spans="1:5" ht="15.75">
      <c r="A8" s="511" t="s">
        <v>155</v>
      </c>
      <c r="B8" s="511"/>
      <c r="C8" s="258" t="s">
        <v>568</v>
      </c>
      <c r="D8" s="258"/>
      <c r="E8" s="4"/>
    </row>
    <row r="9" spans="1:5" ht="15.75">
      <c r="A9" s="511" t="s">
        <v>156</v>
      </c>
      <c r="B9" s="512"/>
      <c r="C9" s="258" t="s">
        <v>569</v>
      </c>
      <c r="D9" s="258"/>
      <c r="E9" s="4"/>
    </row>
    <row r="10" spans="1:4" ht="15.75">
      <c r="A10" s="511" t="s">
        <v>44</v>
      </c>
      <c r="B10" s="512"/>
      <c r="D10" s="315"/>
    </row>
    <row r="11" spans="1:3" ht="15.75">
      <c r="A11" s="511" t="s">
        <v>45</v>
      </c>
      <c r="B11" s="512"/>
      <c r="C11" s="316" t="s">
        <v>167</v>
      </c>
    </row>
    <row r="12" spans="1:4" ht="19.5" customHeight="1">
      <c r="A12" s="511" t="s">
        <v>46</v>
      </c>
      <c r="B12" s="512"/>
      <c r="C12" s="307" t="s">
        <v>69</v>
      </c>
      <c r="D12" s="258"/>
    </row>
    <row r="14" ht="15.75">
      <c r="A14" s="18" t="s">
        <v>467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342">
        <v>1</v>
      </c>
      <c r="B17" s="343" t="s">
        <v>206</v>
      </c>
      <c r="C17" s="112"/>
    </row>
    <row r="18" spans="1:3" ht="15.75">
      <c r="A18" s="104" t="s">
        <v>612</v>
      </c>
      <c r="B18" s="213" t="s">
        <v>414</v>
      </c>
      <c r="C18" s="30" t="s">
        <v>199</v>
      </c>
    </row>
    <row r="19" spans="1:3" ht="31.5">
      <c r="A19" s="104" t="s">
        <v>613</v>
      </c>
      <c r="B19" s="206" t="s">
        <v>468</v>
      </c>
      <c r="C19" s="30" t="s">
        <v>199</v>
      </c>
    </row>
    <row r="20" spans="1:3" ht="15.75">
      <c r="A20" s="104" t="s">
        <v>623</v>
      </c>
      <c r="B20" s="213" t="s">
        <v>469</v>
      </c>
      <c r="C20" s="30" t="s">
        <v>199</v>
      </c>
    </row>
    <row r="21" spans="1:3" ht="15.75">
      <c r="A21" s="104" t="s">
        <v>640</v>
      </c>
      <c r="B21" s="13" t="s">
        <v>470</v>
      </c>
      <c r="C21" s="30" t="s">
        <v>199</v>
      </c>
    </row>
    <row r="22" spans="1:3" ht="15.75">
      <c r="A22" s="104">
        <v>2</v>
      </c>
      <c r="B22" s="114" t="s">
        <v>200</v>
      </c>
      <c r="C22" s="115"/>
    </row>
    <row r="23" spans="1:3" ht="16.5" thickBot="1">
      <c r="A23" s="106" t="s">
        <v>615</v>
      </c>
      <c r="B23" s="327" t="s">
        <v>415</v>
      </c>
      <c r="C23" s="32" t="s">
        <v>199</v>
      </c>
    </row>
    <row r="26" spans="1:7" ht="15.75">
      <c r="A26" s="899"/>
      <c r="B26" s="899"/>
      <c r="C26" s="899"/>
      <c r="D26" s="899"/>
      <c r="E26" s="899"/>
      <c r="F26" s="899"/>
      <c r="G26" s="576"/>
    </row>
    <row r="27" spans="1:7" ht="15.75">
      <c r="A27" s="568"/>
      <c r="B27" s="568"/>
      <c r="C27" s="568"/>
      <c r="D27" s="568"/>
      <c r="E27" s="586"/>
      <c r="F27" s="568"/>
      <c r="G27" s="576"/>
    </row>
    <row r="28" spans="1:7" ht="15.75">
      <c r="A28" s="568"/>
      <c r="B28" s="568"/>
      <c r="C28" s="568"/>
      <c r="D28" s="568"/>
      <c r="E28" s="586"/>
      <c r="F28" s="568"/>
      <c r="G28" s="576"/>
    </row>
    <row r="29" spans="1:7" ht="15.75">
      <c r="A29" s="568"/>
      <c r="B29" s="568"/>
      <c r="C29" s="568"/>
      <c r="D29" s="568"/>
      <c r="E29" s="586"/>
      <c r="F29" s="568"/>
      <c r="G29" s="576"/>
    </row>
    <row r="30" spans="1:7" ht="15.75">
      <c r="A30" s="899"/>
      <c r="B30" s="899"/>
      <c r="C30" s="899"/>
      <c r="D30" s="899"/>
      <c r="E30" s="586"/>
      <c r="F30" s="566"/>
      <c r="G30" s="576"/>
    </row>
    <row r="31" spans="1:7" ht="15.75">
      <c r="A31" s="572"/>
      <c r="B31" s="572"/>
      <c r="C31" s="572"/>
      <c r="D31" s="572"/>
      <c r="E31" s="572"/>
      <c r="F31" s="572"/>
      <c r="G31" s="576"/>
    </row>
    <row r="32" spans="1:7" ht="15.75">
      <c r="A32" s="899"/>
      <c r="B32" s="899"/>
      <c r="C32" s="899"/>
      <c r="D32" s="899"/>
      <c r="E32" s="586"/>
      <c r="F32" s="566"/>
      <c r="G32" s="576"/>
    </row>
  </sheetData>
  <sheetProtection/>
  <mergeCells count="8">
    <mergeCell ref="A32:B32"/>
    <mergeCell ref="C32:D32"/>
    <mergeCell ref="A5:C5"/>
    <mergeCell ref="A26:B26"/>
    <mergeCell ref="C26:D26"/>
    <mergeCell ref="E26:F26"/>
    <mergeCell ref="A30:B30"/>
    <mergeCell ref="C30:D30"/>
  </mergeCells>
  <printOptions/>
  <pageMargins left="0.5905511811023623" right="0" top="0.5905511811023623" bottom="0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P29"/>
  <sheetViews>
    <sheetView zoomScalePageLayoutView="0" workbookViewId="0" topLeftCell="A4">
      <selection activeCell="D25" sqref="D25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497</v>
      </c>
    </row>
    <row r="2" ht="15.75">
      <c r="C2" s="4" t="s">
        <v>292</v>
      </c>
    </row>
    <row r="3" ht="15.75">
      <c r="C3" s="4" t="s">
        <v>70</v>
      </c>
    </row>
    <row r="4" ht="15.75">
      <c r="C4" s="4"/>
    </row>
    <row r="5" spans="1:16" ht="42.75" customHeight="1">
      <c r="A5" s="975" t="s">
        <v>543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1:5" ht="15.75">
      <c r="A7" s="511" t="s">
        <v>154</v>
      </c>
      <c r="B7" s="512"/>
      <c r="C7" s="258" t="s">
        <v>293</v>
      </c>
      <c r="D7" s="258"/>
      <c r="E7" s="4"/>
    </row>
    <row r="8" spans="1:5" ht="15.75">
      <c r="A8" s="511" t="s">
        <v>155</v>
      </c>
      <c r="B8" s="511"/>
      <c r="C8" s="258" t="s">
        <v>568</v>
      </c>
      <c r="D8" s="258"/>
      <c r="E8" s="4"/>
    </row>
    <row r="9" spans="1:5" ht="15.75">
      <c r="A9" s="511" t="s">
        <v>156</v>
      </c>
      <c r="B9" s="512"/>
      <c r="C9" s="258" t="s">
        <v>569</v>
      </c>
      <c r="D9" s="258"/>
      <c r="E9" s="4"/>
    </row>
    <row r="10" spans="1:4" ht="15.75">
      <c r="A10" s="511" t="s">
        <v>44</v>
      </c>
      <c r="B10" s="512"/>
      <c r="D10" s="315"/>
    </row>
    <row r="11" spans="1:3" ht="15.75">
      <c r="A11" s="511" t="s">
        <v>45</v>
      </c>
      <c r="B11" s="512"/>
      <c r="C11" s="316" t="s">
        <v>167</v>
      </c>
    </row>
    <row r="12" spans="1:4" ht="24" customHeight="1">
      <c r="A12" s="511" t="s">
        <v>46</v>
      </c>
      <c r="B12" s="592"/>
      <c r="C12" s="307" t="s">
        <v>69</v>
      </c>
      <c r="D12" s="258"/>
    </row>
    <row r="14" ht="15.75">
      <c r="A14" s="18" t="s">
        <v>464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342">
        <v>1</v>
      </c>
      <c r="B17" s="343" t="s">
        <v>206</v>
      </c>
      <c r="C17" s="112"/>
    </row>
    <row r="18" spans="1:3" ht="15.75">
      <c r="A18" s="104" t="s">
        <v>612</v>
      </c>
      <c r="B18" s="113" t="s">
        <v>465</v>
      </c>
      <c r="C18" s="30" t="s">
        <v>199</v>
      </c>
    </row>
    <row r="19" spans="1:3" ht="15.75">
      <c r="A19" s="104">
        <v>2</v>
      </c>
      <c r="B19" s="114" t="s">
        <v>200</v>
      </c>
      <c r="C19" s="115"/>
    </row>
    <row r="20" spans="1:3" ht="16.5" thickBot="1">
      <c r="A20" s="106" t="s">
        <v>615</v>
      </c>
      <c r="B20" s="107" t="s">
        <v>466</v>
      </c>
      <c r="C20" s="32" t="s">
        <v>199</v>
      </c>
    </row>
    <row r="23" spans="1:7" ht="15.75">
      <c r="A23" s="899"/>
      <c r="B23" s="899"/>
      <c r="C23" s="899"/>
      <c r="D23" s="899"/>
      <c r="E23" s="899"/>
      <c r="F23" s="899"/>
      <c r="G23" s="576"/>
    </row>
    <row r="24" spans="1:7" ht="15.75">
      <c r="A24" s="568"/>
      <c r="B24" s="568"/>
      <c r="C24" s="568"/>
      <c r="D24" s="568"/>
      <c r="E24" s="586"/>
      <c r="F24" s="568"/>
      <c r="G24" s="576"/>
    </row>
    <row r="25" spans="1:7" ht="15.75">
      <c r="A25" s="568"/>
      <c r="B25" s="568"/>
      <c r="C25" s="568"/>
      <c r="D25" s="568"/>
      <c r="E25" s="586"/>
      <c r="F25" s="568"/>
      <c r="G25" s="576"/>
    </row>
    <row r="26" spans="1:7" ht="15.75">
      <c r="A26" s="568"/>
      <c r="B26" s="568"/>
      <c r="C26" s="568"/>
      <c r="D26" s="568"/>
      <c r="E26" s="586"/>
      <c r="F26" s="568"/>
      <c r="G26" s="576"/>
    </row>
    <row r="27" spans="1:7" ht="15.75">
      <c r="A27" s="899"/>
      <c r="B27" s="899"/>
      <c r="C27" s="899"/>
      <c r="D27" s="899"/>
      <c r="E27" s="586"/>
      <c r="F27" s="566"/>
      <c r="G27" s="576"/>
    </row>
    <row r="28" spans="1:7" ht="15.75">
      <c r="A28" s="572"/>
      <c r="B28" s="572"/>
      <c r="C28" s="572"/>
      <c r="D28" s="572"/>
      <c r="E28" s="572"/>
      <c r="F28" s="572"/>
      <c r="G28" s="576"/>
    </row>
    <row r="29" spans="1:7" ht="15.75">
      <c r="A29" s="899"/>
      <c r="B29" s="899"/>
      <c r="C29" s="899"/>
      <c r="D29" s="899"/>
      <c r="E29" s="586"/>
      <c r="F29" s="566"/>
      <c r="G29" s="576"/>
    </row>
  </sheetData>
  <sheetProtection/>
  <mergeCells count="8">
    <mergeCell ref="A29:B29"/>
    <mergeCell ref="C29:D29"/>
    <mergeCell ref="A5:C5"/>
    <mergeCell ref="A23:B23"/>
    <mergeCell ref="C23:D23"/>
    <mergeCell ref="E23:F23"/>
    <mergeCell ref="A27:B27"/>
    <mergeCell ref="C27:D27"/>
  </mergeCells>
  <printOptions/>
  <pageMargins left="0.5905511811023623" right="0" top="0.3937007874015748" bottom="0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H55"/>
  <sheetViews>
    <sheetView zoomScale="75" zoomScaleNormal="75" zoomScalePageLayoutView="0" workbookViewId="0" topLeftCell="A13">
      <selection activeCell="C25" sqref="C25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3" width="10.875" style="1" customWidth="1"/>
    <col min="4" max="6" width="9.00390625" style="1" customWidth="1"/>
    <col min="7" max="7" width="9.625" style="1" customWidth="1"/>
    <col min="8" max="16384" width="9.00390625" style="1" customWidth="1"/>
  </cols>
  <sheetData>
    <row r="2" ht="15.75">
      <c r="F2" s="4" t="s">
        <v>516</v>
      </c>
    </row>
    <row r="3" ht="15.75">
      <c r="F3" s="4" t="s">
        <v>292</v>
      </c>
    </row>
    <row r="4" ht="15.75">
      <c r="F4" s="4" t="s">
        <v>70</v>
      </c>
    </row>
    <row r="6" spans="1:6" s="70" customFormat="1" ht="63" customHeight="1">
      <c r="A6" s="976" t="s">
        <v>230</v>
      </c>
      <c r="B6" s="976"/>
      <c r="C6" s="976"/>
      <c r="D6" s="976"/>
      <c r="E6" s="976"/>
      <c r="F6" s="976"/>
    </row>
    <row r="7" spans="1:6" s="70" customFormat="1" ht="11.25" customHeight="1">
      <c r="A7" s="196"/>
      <c r="B7" s="196"/>
      <c r="C7" s="196"/>
      <c r="D7" s="196"/>
      <c r="E7" s="196"/>
      <c r="F7" s="196"/>
    </row>
    <row r="8" spans="1:6" ht="15.75">
      <c r="A8" s="511" t="s">
        <v>154</v>
      </c>
      <c r="B8" s="512"/>
      <c r="F8" s="258" t="s">
        <v>293</v>
      </c>
    </row>
    <row r="9" spans="1:6" ht="15.75">
      <c r="A9" s="929" t="s">
        <v>155</v>
      </c>
      <c r="B9" s="929"/>
      <c r="F9" s="258" t="s">
        <v>568</v>
      </c>
    </row>
    <row r="10" spans="1:6" ht="15.75">
      <c r="A10" s="511" t="s">
        <v>156</v>
      </c>
      <c r="B10" s="512"/>
      <c r="F10" s="258" t="s">
        <v>569</v>
      </c>
    </row>
    <row r="11" spans="1:2" ht="15.75">
      <c r="A11" s="511" t="s">
        <v>44</v>
      </c>
      <c r="B11" s="512"/>
    </row>
    <row r="12" spans="1:6" ht="15.75">
      <c r="A12" s="511" t="s">
        <v>45</v>
      </c>
      <c r="B12" s="512"/>
      <c r="F12" s="316" t="s">
        <v>167</v>
      </c>
    </row>
    <row r="13" spans="1:6" ht="22.5" customHeight="1">
      <c r="A13" s="511" t="s">
        <v>46</v>
      </c>
      <c r="B13" s="512"/>
      <c r="D13" s="68"/>
      <c r="E13" s="68"/>
      <c r="F13" s="307" t="s">
        <v>69</v>
      </c>
    </row>
    <row r="14" ht="16.5" thickBot="1">
      <c r="A14" s="16"/>
    </row>
    <row r="15" spans="1:6" ht="48" customHeight="1" thickBot="1">
      <c r="A15" s="38" t="s">
        <v>624</v>
      </c>
      <c r="B15" s="40" t="s">
        <v>625</v>
      </c>
      <c r="C15" s="39" t="s">
        <v>577</v>
      </c>
      <c r="D15" s="3" t="s">
        <v>548</v>
      </c>
      <c r="E15" s="42" t="s">
        <v>549</v>
      </c>
      <c r="F15" s="38" t="s">
        <v>652</v>
      </c>
    </row>
    <row r="16" spans="1:6" ht="15.75">
      <c r="A16" s="259">
        <v>1</v>
      </c>
      <c r="B16" s="260" t="s">
        <v>635</v>
      </c>
      <c r="C16" s="266">
        <f>C17+C24+C29</f>
        <v>108.07173959999999</v>
      </c>
      <c r="D16" s="27"/>
      <c r="E16" s="203"/>
      <c r="F16" s="259"/>
    </row>
    <row r="17" spans="1:6" ht="15.75">
      <c r="A17" s="261" t="s">
        <v>612</v>
      </c>
      <c r="B17" s="260" t="s">
        <v>636</v>
      </c>
      <c r="C17" s="267">
        <f>C18+C19+C20+C23</f>
        <v>11.8</v>
      </c>
      <c r="D17" s="239"/>
      <c r="E17" s="263"/>
      <c r="F17" s="264"/>
    </row>
    <row r="18" spans="1:6" ht="15.75">
      <c r="A18" s="151" t="s">
        <v>637</v>
      </c>
      <c r="B18" s="41" t="s">
        <v>657</v>
      </c>
      <c r="C18" s="268">
        <f>'свод '!D4/1000</f>
        <v>11.8</v>
      </c>
      <c r="D18" s="10"/>
      <c r="E18" s="43"/>
      <c r="F18" s="44"/>
    </row>
    <row r="19" spans="1:6" ht="15.75">
      <c r="A19" s="151" t="s">
        <v>650</v>
      </c>
      <c r="B19" s="41" t="s">
        <v>658</v>
      </c>
      <c r="C19" s="268"/>
      <c r="D19" s="10"/>
      <c r="E19" s="43"/>
      <c r="F19" s="44"/>
    </row>
    <row r="20" spans="1:6" ht="31.5">
      <c r="A20" s="151" t="s">
        <v>654</v>
      </c>
      <c r="B20" s="41" t="s">
        <v>127</v>
      </c>
      <c r="C20" s="268"/>
      <c r="D20" s="10"/>
      <c r="E20" s="43"/>
      <c r="F20" s="44"/>
    </row>
    <row r="21" spans="1:6" ht="31.5">
      <c r="A21" s="151" t="s">
        <v>655</v>
      </c>
      <c r="B21" s="41" t="s">
        <v>128</v>
      </c>
      <c r="C21" s="268"/>
      <c r="D21" s="10"/>
      <c r="E21" s="43"/>
      <c r="F21" s="44"/>
    </row>
    <row r="22" spans="1:6" ht="31.5">
      <c r="A22" s="151" t="s">
        <v>656</v>
      </c>
      <c r="B22" s="41" t="s">
        <v>129</v>
      </c>
      <c r="C22" s="268"/>
      <c r="D22" s="10"/>
      <c r="E22" s="43"/>
      <c r="F22" s="44"/>
    </row>
    <row r="23" spans="1:6" ht="15.75">
      <c r="A23" s="151" t="s">
        <v>326</v>
      </c>
      <c r="B23" s="41" t="s">
        <v>311</v>
      </c>
      <c r="C23" s="268"/>
      <c r="D23" s="10"/>
      <c r="E23" s="43"/>
      <c r="F23" s="44"/>
    </row>
    <row r="24" spans="1:6" ht="15.75">
      <c r="A24" s="261" t="s">
        <v>613</v>
      </c>
      <c r="B24" s="260" t="s">
        <v>638</v>
      </c>
      <c r="C24" s="267">
        <f>C25+C26+C27</f>
        <v>96.27173959999999</v>
      </c>
      <c r="D24" s="239"/>
      <c r="E24" s="263"/>
      <c r="F24" s="264"/>
    </row>
    <row r="25" spans="1:6" ht="15.75">
      <c r="A25" s="151" t="s">
        <v>312</v>
      </c>
      <c r="B25" s="41" t="s">
        <v>315</v>
      </c>
      <c r="C25" s="268">
        <f>'свод '!C4/1000</f>
        <v>96.27173959999999</v>
      </c>
      <c r="D25" s="10"/>
      <c r="E25" s="43"/>
      <c r="F25" s="44"/>
    </row>
    <row r="26" spans="1:6" ht="15.75">
      <c r="A26" s="151" t="s">
        <v>313</v>
      </c>
      <c r="B26" s="41" t="s">
        <v>316</v>
      </c>
      <c r="C26" s="17"/>
      <c r="D26" s="10"/>
      <c r="E26" s="43"/>
      <c r="F26" s="44"/>
    </row>
    <row r="27" spans="1:6" ht="15.75">
      <c r="A27" s="151" t="s">
        <v>314</v>
      </c>
      <c r="B27" s="41" t="s">
        <v>317</v>
      </c>
      <c r="C27" s="17"/>
      <c r="D27" s="10"/>
      <c r="E27" s="43"/>
      <c r="F27" s="44"/>
    </row>
    <row r="28" spans="1:6" ht="15.75">
      <c r="A28" s="261" t="s">
        <v>623</v>
      </c>
      <c r="B28" s="260" t="s">
        <v>639</v>
      </c>
      <c r="C28" s="265">
        <f>C16/1.18*0.18</f>
        <v>16.4855196</v>
      </c>
      <c r="D28" s="239"/>
      <c r="E28" s="263"/>
      <c r="F28" s="264"/>
    </row>
    <row r="29" spans="1:6" ht="15.75">
      <c r="A29" s="261" t="s">
        <v>640</v>
      </c>
      <c r="B29" s="260" t="s">
        <v>641</v>
      </c>
      <c r="C29" s="262"/>
      <c r="D29" s="239"/>
      <c r="E29" s="263"/>
      <c r="F29" s="264"/>
    </row>
    <row r="30" spans="1:6" ht="15.75">
      <c r="A30" s="151" t="s">
        <v>642</v>
      </c>
      <c r="B30" s="41" t="s">
        <v>130</v>
      </c>
      <c r="C30" s="17"/>
      <c r="D30" s="10"/>
      <c r="E30" s="43"/>
      <c r="F30" s="44"/>
    </row>
    <row r="31" spans="1:6" ht="15.75">
      <c r="A31" s="151" t="s">
        <v>210</v>
      </c>
      <c r="B31" s="41" t="s">
        <v>322</v>
      </c>
      <c r="C31" s="17"/>
      <c r="D31" s="10"/>
      <c r="E31" s="43"/>
      <c r="F31" s="44"/>
    </row>
    <row r="32" spans="1:6" ht="15.75">
      <c r="A32" s="261" t="s">
        <v>614</v>
      </c>
      <c r="B32" s="260" t="s">
        <v>131</v>
      </c>
      <c r="C32" s="262"/>
      <c r="D32" s="239"/>
      <c r="E32" s="263"/>
      <c r="F32" s="264"/>
    </row>
    <row r="33" spans="1:6" ht="15.75">
      <c r="A33" s="151" t="s">
        <v>615</v>
      </c>
      <c r="B33" s="41" t="s">
        <v>136</v>
      </c>
      <c r="C33" s="17"/>
      <c r="D33" s="10"/>
      <c r="E33" s="43"/>
      <c r="F33" s="44"/>
    </row>
    <row r="34" spans="1:6" ht="15.75">
      <c r="A34" s="151" t="s">
        <v>616</v>
      </c>
      <c r="B34" s="41" t="s">
        <v>132</v>
      </c>
      <c r="C34" s="17"/>
      <c r="D34" s="10"/>
      <c r="E34" s="43"/>
      <c r="F34" s="44"/>
    </row>
    <row r="35" spans="1:6" ht="15.75">
      <c r="A35" s="152" t="s">
        <v>617</v>
      </c>
      <c r="B35" s="41" t="s">
        <v>133</v>
      </c>
      <c r="C35" s="17"/>
      <c r="D35" s="10"/>
      <c r="E35" s="43"/>
      <c r="F35" s="44"/>
    </row>
    <row r="36" spans="1:6" ht="15.75">
      <c r="A36" s="152" t="s">
        <v>618</v>
      </c>
      <c r="B36" s="41" t="s">
        <v>643</v>
      </c>
      <c r="C36" s="17"/>
      <c r="D36" s="10"/>
      <c r="E36" s="43"/>
      <c r="F36" s="44"/>
    </row>
    <row r="37" spans="1:6" ht="15.75">
      <c r="A37" s="151" t="s">
        <v>660</v>
      </c>
      <c r="B37" s="41" t="s">
        <v>653</v>
      </c>
      <c r="C37" s="17"/>
      <c r="D37" s="10"/>
      <c r="E37" s="43"/>
      <c r="F37" s="44"/>
    </row>
    <row r="38" spans="1:6" ht="15.75">
      <c r="A38" s="153" t="s">
        <v>122</v>
      </c>
      <c r="B38" s="139" t="s">
        <v>319</v>
      </c>
      <c r="C38" s="140"/>
      <c r="D38" s="141"/>
      <c r="E38" s="142"/>
      <c r="F38" s="143"/>
    </row>
    <row r="39" spans="1:6" ht="16.5" thickBot="1">
      <c r="A39" s="153" t="s">
        <v>318</v>
      </c>
      <c r="B39" s="139" t="s">
        <v>644</v>
      </c>
      <c r="C39" s="140"/>
      <c r="D39" s="141"/>
      <c r="E39" s="142"/>
      <c r="F39" s="143"/>
    </row>
    <row r="40" spans="1:6" ht="16.5" customHeight="1">
      <c r="A40" s="89"/>
      <c r="B40" s="90" t="s">
        <v>634</v>
      </c>
      <c r="C40" s="422">
        <f>C16/1.18</f>
        <v>91.58622</v>
      </c>
      <c r="D40" s="144"/>
      <c r="E40" s="144"/>
      <c r="F40" s="145"/>
    </row>
    <row r="41" spans="1:6" ht="16.5" customHeight="1">
      <c r="A41" s="9"/>
      <c r="B41" s="5" t="s">
        <v>304</v>
      </c>
      <c r="C41" s="10"/>
      <c r="D41" s="10"/>
      <c r="E41" s="10"/>
      <c r="F41" s="11"/>
    </row>
    <row r="42" spans="1:6" ht="16.5" customHeight="1">
      <c r="A42" s="9"/>
      <c r="B42" s="146" t="s">
        <v>305</v>
      </c>
      <c r="C42" s="10"/>
      <c r="D42" s="10"/>
      <c r="E42" s="10"/>
      <c r="F42" s="11"/>
    </row>
    <row r="43" spans="1:6" ht="16.5" customHeight="1" thickBot="1">
      <c r="A43" s="91"/>
      <c r="B43" s="147" t="s">
        <v>306</v>
      </c>
      <c r="C43" s="33"/>
      <c r="D43" s="33"/>
      <c r="E43" s="33"/>
      <c r="F43" s="34"/>
    </row>
    <row r="44" spans="1:6" ht="15.75">
      <c r="A44" s="35"/>
      <c r="B44" s="81"/>
      <c r="C44" s="35"/>
      <c r="D44" s="35"/>
      <c r="E44" s="35"/>
      <c r="F44" s="35"/>
    </row>
    <row r="45" spans="1:6" ht="30" customHeight="1">
      <c r="A45" s="977" t="s">
        <v>126</v>
      </c>
      <c r="B45" s="977"/>
      <c r="C45" s="977"/>
      <c r="D45" s="977"/>
      <c r="E45" s="977"/>
      <c r="F45" s="977"/>
    </row>
    <row r="46" spans="1:6" ht="30" customHeight="1">
      <c r="A46" s="977" t="s">
        <v>229</v>
      </c>
      <c r="B46" s="977"/>
      <c r="C46" s="977"/>
      <c r="D46" s="977"/>
      <c r="E46" s="977"/>
      <c r="F46" s="977"/>
    </row>
    <row r="47" spans="1:2" ht="15.75">
      <c r="A47" s="14"/>
      <c r="B47" s="13"/>
    </row>
    <row r="48" ht="15.75">
      <c r="A48" s="14"/>
    </row>
    <row r="49" spans="1:8" ht="15.75">
      <c r="A49" s="14"/>
      <c r="B49" s="899"/>
      <c r="C49" s="899"/>
      <c r="D49" s="899"/>
      <c r="E49" s="899"/>
      <c r="F49" s="899"/>
      <c r="G49" s="899"/>
      <c r="H49" s="576"/>
    </row>
    <row r="50" spans="1:8" ht="15.75">
      <c r="A50" s="28"/>
      <c r="B50" s="568"/>
      <c r="C50" s="568"/>
      <c r="D50" s="568"/>
      <c r="E50" s="568"/>
      <c r="F50" s="586"/>
      <c r="G50" s="568"/>
      <c r="H50" s="576"/>
    </row>
    <row r="51" spans="1:8" ht="15.75">
      <c r="A51" s="14"/>
      <c r="B51" s="568"/>
      <c r="C51" s="568"/>
      <c r="D51" s="568"/>
      <c r="E51" s="568"/>
      <c r="F51" s="586"/>
      <c r="G51" s="568"/>
      <c r="H51" s="576"/>
    </row>
    <row r="52" spans="1:8" ht="15.75">
      <c r="A52" s="21"/>
      <c r="B52" s="568"/>
      <c r="C52" s="568"/>
      <c r="D52" s="568"/>
      <c r="E52" s="568"/>
      <c r="F52" s="586"/>
      <c r="G52" s="568"/>
      <c r="H52" s="576"/>
    </row>
    <row r="53" spans="2:8" ht="15.75">
      <c r="B53" s="899"/>
      <c r="C53" s="899"/>
      <c r="D53" s="899"/>
      <c r="E53" s="899"/>
      <c r="F53" s="586"/>
      <c r="G53" s="566"/>
      <c r="H53" s="576"/>
    </row>
    <row r="54" spans="1:8" ht="15.75">
      <c r="A54" s="18"/>
      <c r="B54" s="572"/>
      <c r="C54" s="572"/>
      <c r="D54" s="572"/>
      <c r="E54" s="572"/>
      <c r="F54" s="572"/>
      <c r="G54" s="572"/>
      <c r="H54" s="576"/>
    </row>
    <row r="55" spans="2:8" ht="15.75">
      <c r="B55" s="899"/>
      <c r="C55" s="899"/>
      <c r="D55" s="899"/>
      <c r="E55" s="899"/>
      <c r="F55" s="586"/>
      <c r="G55" s="566"/>
      <c r="H55" s="576"/>
    </row>
  </sheetData>
  <sheetProtection/>
  <mergeCells count="11">
    <mergeCell ref="F49:G49"/>
    <mergeCell ref="A9:B9"/>
    <mergeCell ref="B53:C53"/>
    <mergeCell ref="D53:E53"/>
    <mergeCell ref="B55:C55"/>
    <mergeCell ref="D55:E55"/>
    <mergeCell ref="A6:F6"/>
    <mergeCell ref="A45:F45"/>
    <mergeCell ref="A46:F46"/>
    <mergeCell ref="B49:C49"/>
    <mergeCell ref="D49:E49"/>
  </mergeCells>
  <printOptions/>
  <pageMargins left="0.3937007874015748" right="0.1968503937007874" top="0.1968503937007874" bottom="0" header="0" footer="0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F61"/>
  <sheetViews>
    <sheetView view="pageBreakPreview" zoomScale="80" zoomScaleSheetLayoutView="80" zoomScalePageLayoutView="0" workbookViewId="0" topLeftCell="A1">
      <selection activeCell="B51" sqref="B51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3" width="10.875" style="1" customWidth="1"/>
    <col min="4" max="4" width="9.00390625" style="1" customWidth="1"/>
    <col min="5" max="5" width="12.125" style="1" customWidth="1"/>
    <col min="6" max="6" width="9.00390625" style="1" customWidth="1"/>
    <col min="7" max="7" width="9.625" style="1" customWidth="1"/>
    <col min="8" max="16384" width="9.00390625" style="1" customWidth="1"/>
  </cols>
  <sheetData>
    <row r="2" ht="15.75">
      <c r="F2" s="4" t="s">
        <v>516</v>
      </c>
    </row>
    <row r="3" ht="15.75">
      <c r="F3" s="4" t="s">
        <v>292</v>
      </c>
    </row>
    <row r="4" ht="15.75">
      <c r="F4" s="4" t="s">
        <v>70</v>
      </c>
    </row>
    <row r="6" spans="1:6" s="70" customFormat="1" ht="63" customHeight="1">
      <c r="A6" s="976" t="s">
        <v>228</v>
      </c>
      <c r="B6" s="976"/>
      <c r="C6" s="976"/>
      <c r="D6" s="976"/>
      <c r="E6" s="976"/>
      <c r="F6" s="976"/>
    </row>
    <row r="7" spans="1:6" s="70" customFormat="1" ht="11.25" customHeight="1">
      <c r="A7" s="196"/>
      <c r="B7" s="196"/>
      <c r="C7" s="196"/>
      <c r="D7" s="196"/>
      <c r="E7" s="196"/>
      <c r="F7" s="196"/>
    </row>
    <row r="8" spans="2:6" ht="15.75">
      <c r="B8" s="511" t="s">
        <v>154</v>
      </c>
      <c r="F8" s="258" t="s">
        <v>293</v>
      </c>
    </row>
    <row r="9" spans="2:6" ht="15.75">
      <c r="B9" s="511" t="s">
        <v>155</v>
      </c>
      <c r="F9" s="258" t="s">
        <v>568</v>
      </c>
    </row>
    <row r="10" spans="2:6" ht="15.75">
      <c r="B10" s="511" t="s">
        <v>156</v>
      </c>
      <c r="F10" s="258" t="s">
        <v>569</v>
      </c>
    </row>
    <row r="11" ht="15.75">
      <c r="B11" s="511" t="s">
        <v>157</v>
      </c>
    </row>
    <row r="12" spans="2:6" ht="15.75">
      <c r="B12" s="511" t="s">
        <v>158</v>
      </c>
      <c r="F12" s="316" t="s">
        <v>167</v>
      </c>
    </row>
    <row r="13" spans="2:6" ht="20.25" customHeight="1">
      <c r="B13" s="513" t="s">
        <v>58</v>
      </c>
      <c r="F13" s="307" t="s">
        <v>69</v>
      </c>
    </row>
    <row r="14" ht="16.5" thickBot="1">
      <c r="A14" s="16"/>
    </row>
    <row r="15" spans="1:6" ht="48" customHeight="1" thickBot="1">
      <c r="A15" s="38" t="s">
        <v>624</v>
      </c>
      <c r="B15" s="40" t="s">
        <v>625</v>
      </c>
      <c r="C15" s="39" t="s">
        <v>577</v>
      </c>
      <c r="D15" s="3" t="s">
        <v>548</v>
      </c>
      <c r="E15" s="42" t="s">
        <v>549</v>
      </c>
      <c r="F15" s="38" t="s">
        <v>652</v>
      </c>
    </row>
    <row r="16" spans="1:6" ht="15.75">
      <c r="A16" s="259">
        <v>1</v>
      </c>
      <c r="B16" s="260" t="s">
        <v>635</v>
      </c>
      <c r="C16" s="266">
        <f>C17+C24+C29</f>
        <v>91.58622</v>
      </c>
      <c r="D16" s="27"/>
      <c r="E16" s="203"/>
      <c r="F16" s="259"/>
    </row>
    <row r="17" spans="1:6" ht="15.75">
      <c r="A17" s="261" t="s">
        <v>612</v>
      </c>
      <c r="B17" s="260" t="s">
        <v>636</v>
      </c>
      <c r="C17" s="267">
        <f>C18+C19+C20+C23</f>
        <v>10</v>
      </c>
      <c r="D17" s="239"/>
      <c r="E17" s="263"/>
      <c r="F17" s="264"/>
    </row>
    <row r="18" spans="1:6" ht="15.75">
      <c r="A18" s="151" t="s">
        <v>637</v>
      </c>
      <c r="B18" s="41" t="s">
        <v>657</v>
      </c>
      <c r="C18" s="268">
        <f>'свод '!H4/1000</f>
        <v>10</v>
      </c>
      <c r="D18" s="10"/>
      <c r="E18" s="43"/>
      <c r="F18" s="44"/>
    </row>
    <row r="19" spans="1:6" ht="15.75">
      <c r="A19" s="151" t="s">
        <v>650</v>
      </c>
      <c r="B19" s="41" t="s">
        <v>658</v>
      </c>
      <c r="C19" s="268"/>
      <c r="D19" s="10"/>
      <c r="E19" s="43"/>
      <c r="F19" s="44"/>
    </row>
    <row r="20" spans="1:6" ht="31.5">
      <c r="A20" s="151" t="s">
        <v>654</v>
      </c>
      <c r="B20" s="41" t="s">
        <v>127</v>
      </c>
      <c r="C20" s="268">
        <f>C22</f>
        <v>0</v>
      </c>
      <c r="D20" s="10"/>
      <c r="E20" s="43"/>
      <c r="F20" s="44"/>
    </row>
    <row r="21" spans="1:6" ht="31.5">
      <c r="A21" s="151" t="s">
        <v>655</v>
      </c>
      <c r="B21" s="41" t="s">
        <v>128</v>
      </c>
      <c r="C21" s="268"/>
      <c r="D21" s="10"/>
      <c r="E21" s="43"/>
      <c r="F21" s="44"/>
    </row>
    <row r="22" spans="1:6" ht="31.5">
      <c r="A22" s="151" t="s">
        <v>656</v>
      </c>
      <c r="B22" s="41" t="s">
        <v>129</v>
      </c>
      <c r="C22" s="268"/>
      <c r="D22" s="10"/>
      <c r="E22" s="43"/>
      <c r="F22" s="44"/>
    </row>
    <row r="23" spans="1:6" ht="15.75">
      <c r="A23" s="151" t="s">
        <v>326</v>
      </c>
      <c r="B23" s="41" t="s">
        <v>311</v>
      </c>
      <c r="C23" s="268"/>
      <c r="D23" s="10"/>
      <c r="E23" s="43"/>
      <c r="F23" s="44"/>
    </row>
    <row r="24" spans="1:6" ht="15.75">
      <c r="A24" s="261" t="s">
        <v>613</v>
      </c>
      <c r="B24" s="260" t="s">
        <v>638</v>
      </c>
      <c r="C24" s="267">
        <f>C25+C26+C27</f>
        <v>81.58622</v>
      </c>
      <c r="D24" s="239"/>
      <c r="E24" s="263"/>
      <c r="F24" s="264"/>
    </row>
    <row r="25" spans="1:6" ht="15.75">
      <c r="A25" s="151" t="s">
        <v>312</v>
      </c>
      <c r="B25" s="41" t="s">
        <v>315</v>
      </c>
      <c r="C25" s="268">
        <f>'свод '!F4/1000</f>
        <v>81.58622</v>
      </c>
      <c r="D25" s="10"/>
      <c r="E25" s="43"/>
      <c r="F25" s="44"/>
    </row>
    <row r="26" spans="1:6" ht="15.75">
      <c r="A26" s="151" t="s">
        <v>313</v>
      </c>
      <c r="B26" s="41" t="s">
        <v>316</v>
      </c>
      <c r="C26" s="17"/>
      <c r="D26" s="10"/>
      <c r="E26" s="43"/>
      <c r="F26" s="44"/>
    </row>
    <row r="27" spans="1:6" ht="15.75">
      <c r="A27" s="151" t="s">
        <v>314</v>
      </c>
      <c r="B27" s="41" t="s">
        <v>317</v>
      </c>
      <c r="C27" s="17"/>
      <c r="D27" s="10"/>
      <c r="E27" s="43"/>
      <c r="F27" s="44"/>
    </row>
    <row r="28" spans="1:6" ht="15.75">
      <c r="A28" s="261" t="s">
        <v>623</v>
      </c>
      <c r="B28" s="260" t="s">
        <v>639</v>
      </c>
      <c r="C28" s="265">
        <v>0</v>
      </c>
      <c r="D28" s="239"/>
      <c r="E28" s="263"/>
      <c r="F28" s="264"/>
    </row>
    <row r="29" spans="1:6" ht="15.75">
      <c r="A29" s="261" t="s">
        <v>640</v>
      </c>
      <c r="B29" s="260" t="s">
        <v>641</v>
      </c>
      <c r="C29" s="262"/>
      <c r="D29" s="239"/>
      <c r="E29" s="263"/>
      <c r="F29" s="264"/>
    </row>
    <row r="30" spans="1:6" ht="15.75">
      <c r="A30" s="151" t="s">
        <v>642</v>
      </c>
      <c r="B30" s="41" t="s">
        <v>130</v>
      </c>
      <c r="C30" s="17"/>
      <c r="D30" s="10"/>
      <c r="E30" s="43"/>
      <c r="F30" s="44"/>
    </row>
    <row r="31" spans="1:6" ht="15.75">
      <c r="A31" s="151" t="s">
        <v>210</v>
      </c>
      <c r="B31" s="41" t="s">
        <v>322</v>
      </c>
      <c r="C31" s="17"/>
      <c r="D31" s="10"/>
      <c r="E31" s="43"/>
      <c r="F31" s="44"/>
    </row>
    <row r="32" spans="1:6" ht="15.75">
      <c r="A32" s="261" t="s">
        <v>614</v>
      </c>
      <c r="B32" s="260" t="s">
        <v>131</v>
      </c>
      <c r="C32" s="262"/>
      <c r="D32" s="239"/>
      <c r="E32" s="263"/>
      <c r="F32" s="264"/>
    </row>
    <row r="33" spans="1:6" ht="15.75">
      <c r="A33" s="151" t="s">
        <v>615</v>
      </c>
      <c r="B33" s="41" t="s">
        <v>136</v>
      </c>
      <c r="C33" s="17"/>
      <c r="D33" s="10"/>
      <c r="E33" s="43"/>
      <c r="F33" s="44"/>
    </row>
    <row r="34" spans="1:6" ht="15.75">
      <c r="A34" s="151" t="s">
        <v>616</v>
      </c>
      <c r="B34" s="41" t="s">
        <v>132</v>
      </c>
      <c r="C34" s="17"/>
      <c r="D34" s="10"/>
      <c r="E34" s="43"/>
      <c r="F34" s="44"/>
    </row>
    <row r="35" spans="1:6" ht="15.75">
      <c r="A35" s="152" t="s">
        <v>617</v>
      </c>
      <c r="B35" s="41" t="s">
        <v>133</v>
      </c>
      <c r="C35" s="17"/>
      <c r="D35" s="10"/>
      <c r="E35" s="43"/>
      <c r="F35" s="44"/>
    </row>
    <row r="36" spans="1:6" ht="15.75">
      <c r="A36" s="152" t="s">
        <v>618</v>
      </c>
      <c r="B36" s="41" t="s">
        <v>643</v>
      </c>
      <c r="C36" s="17"/>
      <c r="D36" s="10"/>
      <c r="E36" s="43"/>
      <c r="F36" s="44"/>
    </row>
    <row r="37" spans="1:6" ht="15.75">
      <c r="A37" s="151" t="s">
        <v>660</v>
      </c>
      <c r="B37" s="41" t="s">
        <v>653</v>
      </c>
      <c r="C37" s="17"/>
      <c r="D37" s="10"/>
      <c r="E37" s="43"/>
      <c r="F37" s="44"/>
    </row>
    <row r="38" spans="1:6" ht="15.75">
      <c r="A38" s="153" t="s">
        <v>122</v>
      </c>
      <c r="B38" s="139" t="s">
        <v>319</v>
      </c>
      <c r="C38" s="140"/>
      <c r="D38" s="141"/>
      <c r="E38" s="142"/>
      <c r="F38" s="143"/>
    </row>
    <row r="39" spans="1:6" ht="16.5" thickBot="1">
      <c r="A39" s="153" t="s">
        <v>318</v>
      </c>
      <c r="B39" s="139" t="s">
        <v>644</v>
      </c>
      <c r="C39" s="140"/>
      <c r="D39" s="141"/>
      <c r="E39" s="142"/>
      <c r="F39" s="143"/>
    </row>
    <row r="40" spans="1:6" ht="16.5" customHeight="1">
      <c r="A40" s="89"/>
      <c r="B40" s="90" t="s">
        <v>634</v>
      </c>
      <c r="C40" s="422">
        <f>C16</f>
        <v>91.58622</v>
      </c>
      <c r="D40" s="144"/>
      <c r="E40" s="144"/>
      <c r="F40" s="145"/>
    </row>
    <row r="41" spans="1:6" ht="16.5" customHeight="1">
      <c r="A41" s="9"/>
      <c r="B41" s="5" t="s">
        <v>304</v>
      </c>
      <c r="C41" s="10"/>
      <c r="D41" s="10"/>
      <c r="E41" s="10"/>
      <c r="F41" s="11"/>
    </row>
    <row r="42" spans="1:6" ht="16.5" customHeight="1">
      <c r="A42" s="9"/>
      <c r="B42" s="146" t="s">
        <v>305</v>
      </c>
      <c r="C42" s="10"/>
      <c r="D42" s="10"/>
      <c r="E42" s="10"/>
      <c r="F42" s="11"/>
    </row>
    <row r="43" spans="1:6" ht="16.5" customHeight="1" thickBot="1">
      <c r="A43" s="91"/>
      <c r="B43" s="147" t="s">
        <v>306</v>
      </c>
      <c r="C43" s="33"/>
      <c r="D43" s="33"/>
      <c r="E43" s="33"/>
      <c r="F43" s="34"/>
    </row>
    <row r="44" spans="1:6" ht="15.75">
      <c r="A44" s="35"/>
      <c r="B44" s="81"/>
      <c r="C44" s="35"/>
      <c r="D44" s="35"/>
      <c r="E44" s="35"/>
      <c r="F44" s="35"/>
    </row>
    <row r="45" spans="1:6" ht="30" customHeight="1">
      <c r="A45" s="977" t="s">
        <v>126</v>
      </c>
      <c r="B45" s="977"/>
      <c r="C45" s="977"/>
      <c r="D45" s="977"/>
      <c r="E45" s="977"/>
      <c r="F45" s="977"/>
    </row>
    <row r="46" spans="1:6" ht="30" customHeight="1">
      <c r="A46" s="977" t="s">
        <v>229</v>
      </c>
      <c r="B46" s="977"/>
      <c r="C46" s="977"/>
      <c r="D46" s="977"/>
      <c r="E46" s="977"/>
      <c r="F46" s="977"/>
    </row>
    <row r="47" spans="1:6" ht="30" customHeight="1">
      <c r="A47" s="565"/>
      <c r="B47" s="565"/>
      <c r="C47" s="565"/>
      <c r="D47" s="565"/>
      <c r="E47" s="565"/>
      <c r="F47" s="565"/>
    </row>
    <row r="48" spans="1:6" ht="30" customHeight="1">
      <c r="A48" s="899" t="s">
        <v>35</v>
      </c>
      <c r="B48" s="899"/>
      <c r="C48" s="899"/>
      <c r="D48" s="899"/>
      <c r="E48" s="899"/>
      <c r="F48" s="899"/>
    </row>
    <row r="49" spans="1:6" ht="30" customHeight="1">
      <c r="A49" s="567"/>
      <c r="B49" s="567"/>
      <c r="C49" s="568"/>
      <c r="D49" s="568"/>
      <c r="E49" s="569"/>
      <c r="F49" s="567"/>
    </row>
    <row r="50" spans="1:6" ht="30" customHeight="1">
      <c r="A50" s="567" t="s">
        <v>36</v>
      </c>
      <c r="B50" s="567"/>
      <c r="C50" s="570"/>
      <c r="D50" s="570"/>
      <c r="E50" s="569" t="s">
        <v>37</v>
      </c>
      <c r="F50" s="567"/>
    </row>
    <row r="51" spans="1:6" ht="30" customHeight="1">
      <c r="A51" s="567"/>
      <c r="B51" s="567"/>
      <c r="C51" s="568"/>
      <c r="D51" s="568"/>
      <c r="E51" s="569"/>
      <c r="F51" s="567"/>
    </row>
    <row r="52" spans="1:6" ht="30" customHeight="1">
      <c r="A52" s="899" t="s">
        <v>38</v>
      </c>
      <c r="B52" s="899"/>
      <c r="C52" s="978"/>
      <c r="D52" s="978"/>
      <c r="E52" s="569" t="s">
        <v>39</v>
      </c>
      <c r="F52" s="566"/>
    </row>
    <row r="53" spans="1:6" ht="30" customHeight="1">
      <c r="A53" s="571"/>
      <c r="B53" s="571"/>
      <c r="C53" s="572"/>
      <c r="D53" s="572"/>
      <c r="E53" s="571"/>
      <c r="F53" s="571"/>
    </row>
    <row r="54" spans="1:6" ht="15.75">
      <c r="A54" s="899" t="s">
        <v>40</v>
      </c>
      <c r="B54" s="899"/>
      <c r="C54" s="978"/>
      <c r="D54" s="978"/>
      <c r="E54" s="569" t="s">
        <v>41</v>
      </c>
      <c r="F54" s="566"/>
    </row>
    <row r="55" ht="15.75">
      <c r="A55" s="14"/>
    </row>
    <row r="56" ht="15.75">
      <c r="A56" s="14"/>
    </row>
    <row r="57" spans="1:6" ht="15.75">
      <c r="A57" s="28"/>
      <c r="B57" s="28"/>
      <c r="C57" s="28"/>
      <c r="D57" s="28"/>
      <c r="E57" s="28"/>
      <c r="F57" s="28"/>
    </row>
    <row r="58" ht="15.75">
      <c r="A58" s="14"/>
    </row>
    <row r="59" spans="1:6" ht="15.75">
      <c r="A59" s="21"/>
      <c r="C59" s="23"/>
      <c r="D59" s="23"/>
      <c r="F59" s="22"/>
    </row>
    <row r="60" spans="3:4" ht="15.75">
      <c r="C60" s="24"/>
      <c r="D60" s="24"/>
    </row>
    <row r="61" spans="1:4" ht="15.75">
      <c r="A61" s="18"/>
      <c r="D61" s="16"/>
    </row>
  </sheetData>
  <sheetProtection/>
  <mergeCells count="10">
    <mergeCell ref="A45:F45"/>
    <mergeCell ref="A6:F6"/>
    <mergeCell ref="A46:F46"/>
    <mergeCell ref="C54:D54"/>
    <mergeCell ref="A48:B48"/>
    <mergeCell ref="C48:D48"/>
    <mergeCell ref="E48:F48"/>
    <mergeCell ref="A52:B52"/>
    <mergeCell ref="C52:D52"/>
    <mergeCell ref="A54:B54"/>
  </mergeCells>
  <printOptions/>
  <pageMargins left="1.22" right="0.75" top="1" bottom="1" header="0.5" footer="0.5"/>
  <pageSetup fitToHeight="1" fitToWidth="1" horizontalDpi="600" verticalDpi="600" orientation="portrait" paperSize="9" scale="65" r:id="rId1"/>
  <rowBreaks count="1" manualBreakCount="1">
    <brk id="54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I91"/>
  <sheetViews>
    <sheetView view="pageBreakPreview" zoomScaleNormal="90" zoomScaleSheetLayoutView="100" zoomScalePageLayoutView="0" workbookViewId="0" topLeftCell="A5">
      <selection activeCell="B87" sqref="B87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 hidden="1">
      <c r="F1" s="4"/>
    </row>
    <row r="2" ht="15.75">
      <c r="F2" s="4" t="s">
        <v>515</v>
      </c>
    </row>
    <row r="3" ht="15.75">
      <c r="F3" s="4" t="s">
        <v>292</v>
      </c>
    </row>
    <row r="4" ht="15.75">
      <c r="F4" s="4" t="s">
        <v>301</v>
      </c>
    </row>
    <row r="5" ht="15.75">
      <c r="F5" s="4"/>
    </row>
    <row r="6" spans="1:8" ht="36.75" customHeight="1">
      <c r="A6" s="976" t="s">
        <v>430</v>
      </c>
      <c r="B6" s="976"/>
      <c r="C6" s="976"/>
      <c r="D6" s="976"/>
      <c r="E6" s="976"/>
      <c r="F6" s="976"/>
      <c r="H6" s="4"/>
    </row>
    <row r="7" spans="1:8" ht="12" customHeight="1">
      <c r="A7" s="196"/>
      <c r="B7" s="196"/>
      <c r="C7" s="196"/>
      <c r="D7" s="196"/>
      <c r="E7" s="196"/>
      <c r="F7" s="196"/>
      <c r="H7" s="4"/>
    </row>
    <row r="8" spans="1:6" ht="15.75">
      <c r="A8" s="511" t="s">
        <v>154</v>
      </c>
      <c r="B8" s="512"/>
      <c r="F8" s="258" t="s">
        <v>293</v>
      </c>
    </row>
    <row r="9" spans="1:6" ht="15.75">
      <c r="A9" s="929" t="s">
        <v>155</v>
      </c>
      <c r="B9" s="929"/>
      <c r="F9" s="258" t="s">
        <v>568</v>
      </c>
    </row>
    <row r="10" spans="1:6" ht="15.75">
      <c r="A10" s="511" t="s">
        <v>156</v>
      </c>
      <c r="B10" s="512"/>
      <c r="F10" s="258" t="s">
        <v>569</v>
      </c>
    </row>
    <row r="11" spans="1:6" ht="15.75">
      <c r="A11" s="511" t="s">
        <v>44</v>
      </c>
      <c r="B11" s="512"/>
      <c r="F11" s="316"/>
    </row>
    <row r="12" spans="1:6" ht="15.75">
      <c r="A12" s="511" t="s">
        <v>45</v>
      </c>
      <c r="B12" s="512"/>
      <c r="F12" s="316" t="s">
        <v>167</v>
      </c>
    </row>
    <row r="13" spans="1:6" ht="15.75">
      <c r="A13" s="511" t="s">
        <v>46</v>
      </c>
      <c r="B13" s="512"/>
      <c r="F13" s="4" t="s">
        <v>50</v>
      </c>
    </row>
    <row r="14" ht="15.75">
      <c r="F14" s="4" t="s">
        <v>294</v>
      </c>
    </row>
    <row r="15" ht="16.5" thickBot="1">
      <c r="F15" s="4" t="s">
        <v>43</v>
      </c>
    </row>
    <row r="16" spans="1:9" ht="15.75" customHeight="1">
      <c r="A16" s="979" t="s">
        <v>609</v>
      </c>
      <c r="B16" s="981" t="s">
        <v>76</v>
      </c>
      <c r="C16" s="979" t="s">
        <v>677</v>
      </c>
      <c r="D16" s="985"/>
      <c r="E16" s="983" t="s">
        <v>688</v>
      </c>
      <c r="F16" s="984"/>
      <c r="I16" s="36"/>
    </row>
    <row r="17" spans="1:9" ht="16.5" thickBot="1">
      <c r="A17" s="980"/>
      <c r="B17" s="982"/>
      <c r="C17" s="45" t="s">
        <v>632</v>
      </c>
      <c r="D17" s="46" t="s">
        <v>633</v>
      </c>
      <c r="E17" s="601" t="s">
        <v>632</v>
      </c>
      <c r="F17" s="602" t="s">
        <v>687</v>
      </c>
      <c r="I17" s="36"/>
    </row>
    <row r="18" spans="1:9" ht="16.5" thickBot="1">
      <c r="A18" s="92">
        <v>1</v>
      </c>
      <c r="B18" s="93">
        <v>2</v>
      </c>
      <c r="C18" s="361">
        <v>3</v>
      </c>
      <c r="D18" s="362">
        <v>4</v>
      </c>
      <c r="E18" s="603">
        <v>3</v>
      </c>
      <c r="F18" s="604">
        <v>4</v>
      </c>
      <c r="I18" s="36"/>
    </row>
    <row r="19" spans="1:9" ht="15.75" customHeight="1">
      <c r="A19" s="97" t="s">
        <v>649</v>
      </c>
      <c r="B19" s="83" t="s">
        <v>77</v>
      </c>
      <c r="C19" s="363">
        <f>C21+C24</f>
        <v>3351991.82</v>
      </c>
      <c r="D19" s="364">
        <f>D21</f>
        <v>3453413</v>
      </c>
      <c r="E19" s="605">
        <v>3629591</v>
      </c>
      <c r="F19" s="606">
        <f>F21+F24</f>
        <v>3499814</v>
      </c>
      <c r="I19" s="36"/>
    </row>
    <row r="20" spans="1:9" ht="15.75">
      <c r="A20" s="52"/>
      <c r="B20" s="53" t="s">
        <v>90</v>
      </c>
      <c r="C20" s="51"/>
      <c r="D20" s="365"/>
      <c r="E20" s="607"/>
      <c r="F20" s="608"/>
      <c r="I20" s="36"/>
    </row>
    <row r="21" spans="1:9" ht="31.5">
      <c r="A21" s="52" t="s">
        <v>612</v>
      </c>
      <c r="B21" s="53" t="s">
        <v>327</v>
      </c>
      <c r="C21" s="366">
        <f>C22+C23</f>
        <v>3264693</v>
      </c>
      <c r="D21" s="365">
        <v>3453413</v>
      </c>
      <c r="E21" s="609">
        <v>3501158</v>
      </c>
      <c r="F21" s="608">
        <f>F22+F23</f>
        <v>3363033</v>
      </c>
      <c r="I21" s="36"/>
    </row>
    <row r="22" spans="1:9" ht="15.75">
      <c r="A22" s="161"/>
      <c r="B22" s="162" t="s">
        <v>443</v>
      </c>
      <c r="C22" s="367">
        <v>2634073</v>
      </c>
      <c r="D22" s="368">
        <v>2541255</v>
      </c>
      <c r="E22" s="610">
        <v>3014708</v>
      </c>
      <c r="F22" s="611">
        <v>2874603</v>
      </c>
      <c r="I22" s="36"/>
    </row>
    <row r="23" spans="1:9" ht="15.75">
      <c r="A23" s="161"/>
      <c r="B23" s="162" t="s">
        <v>444</v>
      </c>
      <c r="C23" s="367">
        <v>630620</v>
      </c>
      <c r="D23" s="368">
        <v>618361</v>
      </c>
      <c r="E23" s="610">
        <v>486450</v>
      </c>
      <c r="F23" s="611">
        <v>488430</v>
      </c>
      <c r="I23" s="36"/>
    </row>
    <row r="24" spans="1:9" ht="16.5" thickBot="1">
      <c r="A24" s="52" t="s">
        <v>613</v>
      </c>
      <c r="B24" s="53" t="s">
        <v>259</v>
      </c>
      <c r="C24" s="369">
        <f>17298.82+70000</f>
        <v>87298.82</v>
      </c>
      <c r="D24" s="365">
        <v>293797</v>
      </c>
      <c r="E24" s="612">
        <v>128433</v>
      </c>
      <c r="F24" s="608">
        <f>15900+97212+23669</f>
        <v>136781</v>
      </c>
      <c r="I24" s="36"/>
    </row>
    <row r="25" spans="1:9" ht="15.75">
      <c r="A25" s="97" t="s">
        <v>645</v>
      </c>
      <c r="B25" s="83" t="s">
        <v>237</v>
      </c>
      <c r="C25" s="363">
        <f>3151090.67-0.5</f>
        <v>3151090.17</v>
      </c>
      <c r="D25" s="364">
        <f>D26+D31+D32+D33+D34</f>
        <v>3098378</v>
      </c>
      <c r="E25" s="605">
        <v>3593416</v>
      </c>
      <c r="F25" s="606">
        <f>F26+F31+F32+F33+F34</f>
        <v>3408493</v>
      </c>
      <c r="I25" s="36"/>
    </row>
    <row r="26" spans="1:9" ht="15.75">
      <c r="A26" s="49" t="s">
        <v>611</v>
      </c>
      <c r="B26" s="50" t="s">
        <v>78</v>
      </c>
      <c r="C26" s="370">
        <f>C28+C29+C30</f>
        <v>1940561.15</v>
      </c>
      <c r="D26" s="371">
        <v>2018780</v>
      </c>
      <c r="E26" s="607">
        <v>2425184</v>
      </c>
      <c r="F26" s="613">
        <f>F28+F29+F30</f>
        <v>2340762</v>
      </c>
      <c r="G26" s="372"/>
      <c r="I26" s="36"/>
    </row>
    <row r="27" spans="1:9" ht="15.75">
      <c r="A27" s="52"/>
      <c r="B27" s="53" t="s">
        <v>90</v>
      </c>
      <c r="C27" s="54"/>
      <c r="D27" s="365"/>
      <c r="E27" s="609"/>
      <c r="F27" s="608"/>
      <c r="I27" s="36"/>
    </row>
    <row r="28" spans="1:9" ht="15.75">
      <c r="A28" s="52" t="s">
        <v>612</v>
      </c>
      <c r="B28" s="53" t="s">
        <v>257</v>
      </c>
      <c r="C28" s="366">
        <f>11166.23+421058.42+107443.24+44270.96</f>
        <v>583938.85</v>
      </c>
      <c r="D28" s="365">
        <f>399438+668+15969+10291+36+885+4259</f>
        <v>431546</v>
      </c>
      <c r="E28" s="609">
        <v>926250</v>
      </c>
      <c r="F28" s="608">
        <f>512809.92+18329.17+8374.66</f>
        <v>539513.75</v>
      </c>
      <c r="I28" s="36"/>
    </row>
    <row r="29" spans="1:9" ht="15.75">
      <c r="A29" s="52" t="s">
        <v>613</v>
      </c>
      <c r="B29" s="53" t="s">
        <v>258</v>
      </c>
      <c r="C29" s="366">
        <f>173745.34-101860.1-0.5</f>
        <v>71884.73999999999</v>
      </c>
      <c r="D29" s="365">
        <f>D26-D28-D30</f>
        <v>233459</v>
      </c>
      <c r="E29" s="609">
        <v>140554</v>
      </c>
      <c r="F29" s="608">
        <f>2340762-F28-F30</f>
        <v>353950.29000000004</v>
      </c>
      <c r="I29" s="36"/>
    </row>
    <row r="30" spans="1:9" ht="15.75">
      <c r="A30" s="52" t="s">
        <v>623</v>
      </c>
      <c r="B30" s="53" t="s">
        <v>445</v>
      </c>
      <c r="C30" s="366">
        <v>1284737.56</v>
      </c>
      <c r="D30" s="365">
        <f>91698+4616+1257461</f>
        <v>1353775</v>
      </c>
      <c r="E30" s="609">
        <v>1358380</v>
      </c>
      <c r="F30" s="608">
        <f>1447297.96</f>
        <v>1447297.96</v>
      </c>
      <c r="I30" s="36"/>
    </row>
    <row r="31" spans="1:9" ht="15.75">
      <c r="A31" s="49" t="s">
        <v>614</v>
      </c>
      <c r="B31" s="50" t="s">
        <v>79</v>
      </c>
      <c r="C31" s="370">
        <f>451910.43+112356.39</f>
        <v>564266.82</v>
      </c>
      <c r="D31" s="371">
        <f>532157-23393-3285</f>
        <v>505479</v>
      </c>
      <c r="E31" s="607">
        <v>516696</v>
      </c>
      <c r="F31" s="613">
        <f>407778</f>
        <v>407778</v>
      </c>
      <c r="I31" s="36"/>
    </row>
    <row r="32" spans="1:9" ht="15.75">
      <c r="A32" s="49" t="s">
        <v>80</v>
      </c>
      <c r="B32" s="50" t="s">
        <v>81</v>
      </c>
      <c r="C32" s="370">
        <v>71109.71</v>
      </c>
      <c r="D32" s="371">
        <v>77812</v>
      </c>
      <c r="E32" s="607">
        <v>81016</v>
      </c>
      <c r="F32" s="613">
        <v>97070</v>
      </c>
      <c r="I32" s="36"/>
    </row>
    <row r="33" spans="1:9" ht="15.75">
      <c r="A33" s="49" t="s">
        <v>82</v>
      </c>
      <c r="B33" s="50" t="s">
        <v>93</v>
      </c>
      <c r="C33" s="370">
        <v>773.75</v>
      </c>
      <c r="D33" s="371">
        <f>1+18+120</f>
        <v>139</v>
      </c>
      <c r="E33" s="607">
        <v>1373</v>
      </c>
      <c r="F33" s="613">
        <f>185+25+19</f>
        <v>229</v>
      </c>
      <c r="I33" s="36"/>
    </row>
    <row r="34" spans="1:9" ht="15.75">
      <c r="A34" s="49" t="s">
        <v>92</v>
      </c>
      <c r="B34" s="50" t="s">
        <v>87</v>
      </c>
      <c r="C34" s="370">
        <f>C36+C37+C38</f>
        <v>574378.74</v>
      </c>
      <c r="D34" s="371">
        <f>496168</f>
        <v>496168</v>
      </c>
      <c r="E34" s="607">
        <v>569147</v>
      </c>
      <c r="F34" s="613">
        <f>F36+F37+F38</f>
        <v>562654</v>
      </c>
      <c r="I34" s="36"/>
    </row>
    <row r="35" spans="1:9" ht="15.75">
      <c r="A35" s="52"/>
      <c r="B35" s="53" t="s">
        <v>90</v>
      </c>
      <c r="C35" s="54"/>
      <c r="D35" s="365"/>
      <c r="E35" s="609"/>
      <c r="F35" s="608"/>
      <c r="I35" s="36"/>
    </row>
    <row r="36" spans="1:9" ht="15.75">
      <c r="A36" s="52" t="s">
        <v>622</v>
      </c>
      <c r="B36" s="53" t="s">
        <v>89</v>
      </c>
      <c r="C36" s="366">
        <f>41418.87+101860.1</f>
        <v>143278.97</v>
      </c>
      <c r="D36" s="365">
        <f>128591</f>
        <v>128591</v>
      </c>
      <c r="E36" s="609">
        <v>143368</v>
      </c>
      <c r="F36" s="608">
        <v>159918.38</v>
      </c>
      <c r="I36" s="36"/>
    </row>
    <row r="37" spans="1:9" ht="15.75">
      <c r="A37" s="52" t="s">
        <v>94</v>
      </c>
      <c r="B37" s="53" t="s">
        <v>238</v>
      </c>
      <c r="C37" s="366">
        <v>210580.88</v>
      </c>
      <c r="D37" s="365">
        <f>6366+8594+409+142364+2124+14993+3583+818+19971+11601+470</f>
        <v>211293</v>
      </c>
      <c r="E37" s="609">
        <v>220062</v>
      </c>
      <c r="F37" s="608">
        <f>14773.88+171365.53+34260.68</f>
        <v>220400.09</v>
      </c>
      <c r="I37" s="36"/>
    </row>
    <row r="38" spans="1:9" ht="16.5" thickBot="1">
      <c r="A38" s="55" t="s">
        <v>204</v>
      </c>
      <c r="B38" s="56" t="s">
        <v>239</v>
      </c>
      <c r="C38" s="366">
        <f>90190.41+130328.48</f>
        <v>220518.89</v>
      </c>
      <c r="D38" s="373">
        <f>D34-D36-D37</f>
        <v>156284</v>
      </c>
      <c r="E38" s="609">
        <v>205717</v>
      </c>
      <c r="F38" s="614">
        <f>3408493-F26-F31-F32-F33-F36-F37</f>
        <v>182335.53</v>
      </c>
      <c r="I38" s="36"/>
    </row>
    <row r="39" spans="1:9" ht="16.5" thickBot="1">
      <c r="A39" s="96" t="s">
        <v>646</v>
      </c>
      <c r="B39" s="58" t="s">
        <v>240</v>
      </c>
      <c r="C39" s="374">
        <f>C19-C25</f>
        <v>200901.6499999999</v>
      </c>
      <c r="D39" s="375">
        <v>355035</v>
      </c>
      <c r="E39" s="615">
        <v>36175</v>
      </c>
      <c r="F39" s="616">
        <f>F19-F25</f>
        <v>91321</v>
      </c>
      <c r="I39" s="36"/>
    </row>
    <row r="40" spans="1:9" ht="15.75">
      <c r="A40" s="97" t="s">
        <v>95</v>
      </c>
      <c r="B40" s="83" t="s">
        <v>96</v>
      </c>
      <c r="C40" s="376">
        <f>C41-C45</f>
        <v>-180087</v>
      </c>
      <c r="D40" s="364">
        <f>D41-D45</f>
        <v>-267054</v>
      </c>
      <c r="E40" s="617">
        <v>-10197</v>
      </c>
      <c r="F40" s="606">
        <f>F41-F45</f>
        <v>-60279</v>
      </c>
      <c r="I40" s="36"/>
    </row>
    <row r="41" spans="1:9" ht="15.75">
      <c r="A41" s="52" t="s">
        <v>611</v>
      </c>
      <c r="B41" s="53" t="s">
        <v>97</v>
      </c>
      <c r="C41" s="377">
        <v>1267</v>
      </c>
      <c r="D41" s="365">
        <v>106923</v>
      </c>
      <c r="E41" s="618">
        <v>122914</v>
      </c>
      <c r="F41" s="608">
        <f>57+287005</f>
        <v>287062</v>
      </c>
      <c r="I41" s="36"/>
    </row>
    <row r="42" spans="1:9" ht="15.75" customHeight="1" hidden="1">
      <c r="A42" s="52"/>
      <c r="B42" s="53" t="s">
        <v>88</v>
      </c>
      <c r="C42" s="54"/>
      <c r="D42" s="365"/>
      <c r="E42" s="609"/>
      <c r="F42" s="608"/>
      <c r="I42" s="36"/>
    </row>
    <row r="43" spans="1:9" ht="31.5" customHeight="1" hidden="1">
      <c r="A43" s="52" t="s">
        <v>612</v>
      </c>
      <c r="B43" s="53" t="s">
        <v>244</v>
      </c>
      <c r="C43" s="54"/>
      <c r="D43" s="365"/>
      <c r="E43" s="609"/>
      <c r="F43" s="608"/>
      <c r="I43" s="36"/>
    </row>
    <row r="44" spans="1:9" ht="15.75" customHeight="1" hidden="1">
      <c r="A44" s="52" t="s">
        <v>613</v>
      </c>
      <c r="B44" s="59" t="s">
        <v>245</v>
      </c>
      <c r="C44" s="54"/>
      <c r="D44" s="365"/>
      <c r="E44" s="609"/>
      <c r="F44" s="608"/>
      <c r="I44" s="36"/>
    </row>
    <row r="45" spans="1:9" ht="15.75">
      <c r="A45" s="52" t="s">
        <v>614</v>
      </c>
      <c r="B45" s="53" t="s">
        <v>98</v>
      </c>
      <c r="C45" s="366">
        <v>181354</v>
      </c>
      <c r="D45" s="365">
        <v>373977</v>
      </c>
      <c r="E45" s="609">
        <v>133111</v>
      </c>
      <c r="F45" s="608">
        <f>272570+65326+9445</f>
        <v>347341</v>
      </c>
      <c r="I45" s="36"/>
    </row>
    <row r="46" spans="1:9" ht="15.75">
      <c r="A46" s="52"/>
      <c r="B46" s="53" t="s">
        <v>88</v>
      </c>
      <c r="C46" s="54"/>
      <c r="D46" s="365"/>
      <c r="E46" s="609"/>
      <c r="F46" s="608"/>
      <c r="I46" s="36"/>
    </row>
    <row r="47" spans="1:9" ht="16.5" thickBot="1">
      <c r="A47" s="55" t="s">
        <v>615</v>
      </c>
      <c r="B47" s="56" t="s">
        <v>246</v>
      </c>
      <c r="C47" s="369">
        <v>109712</v>
      </c>
      <c r="D47" s="373">
        <v>80506</v>
      </c>
      <c r="E47" s="612">
        <v>90659</v>
      </c>
      <c r="F47" s="614">
        <v>65326</v>
      </c>
      <c r="I47" s="36"/>
    </row>
    <row r="48" spans="1:9" ht="16.5" thickBot="1">
      <c r="A48" s="116" t="s">
        <v>99</v>
      </c>
      <c r="B48" s="125" t="s">
        <v>100</v>
      </c>
      <c r="C48" s="378">
        <f>C39+C40</f>
        <v>20814.649999999907</v>
      </c>
      <c r="D48" s="379">
        <v>87981</v>
      </c>
      <c r="E48" s="619">
        <v>25978</v>
      </c>
      <c r="F48" s="620">
        <f>F39+F40</f>
        <v>31042</v>
      </c>
      <c r="I48" s="36"/>
    </row>
    <row r="49" spans="1:9" ht="16.5" thickBot="1">
      <c r="A49" s="96" t="s">
        <v>101</v>
      </c>
      <c r="B49" s="58" t="s">
        <v>102</v>
      </c>
      <c r="C49" s="47">
        <v>12309</v>
      </c>
      <c r="D49" s="375">
        <v>33981</v>
      </c>
      <c r="E49" s="615">
        <v>12498</v>
      </c>
      <c r="F49" s="616">
        <v>18929</v>
      </c>
      <c r="I49" s="36"/>
    </row>
    <row r="50" spans="1:9" ht="16.5" thickBot="1">
      <c r="A50" s="96" t="s">
        <v>103</v>
      </c>
      <c r="B50" s="58" t="s">
        <v>104</v>
      </c>
      <c r="C50" s="374">
        <f>C48-C49</f>
        <v>8505.649999999907</v>
      </c>
      <c r="D50" s="375">
        <v>50313</v>
      </c>
      <c r="E50" s="615">
        <v>13480</v>
      </c>
      <c r="F50" s="616">
        <v>11718</v>
      </c>
      <c r="I50" s="36"/>
    </row>
    <row r="51" spans="1:9" ht="15.75">
      <c r="A51" s="97" t="s">
        <v>105</v>
      </c>
      <c r="B51" s="83" t="s">
        <v>255</v>
      </c>
      <c r="C51" s="48"/>
      <c r="D51" s="380">
        <f>D53+D54+D55+D56</f>
        <v>50313</v>
      </c>
      <c r="E51" s="621"/>
      <c r="F51" s="622">
        <f>SUM(F52:F56)</f>
        <v>0</v>
      </c>
      <c r="I51" s="36"/>
    </row>
    <row r="52" spans="1:9" ht="15.75">
      <c r="A52" s="52"/>
      <c r="B52" s="53" t="s">
        <v>90</v>
      </c>
      <c r="C52" s="54"/>
      <c r="D52" s="365"/>
      <c r="E52" s="623"/>
      <c r="F52" s="624">
        <v>0</v>
      </c>
      <c r="I52" s="36"/>
    </row>
    <row r="53" spans="1:9" ht="15.75">
      <c r="A53" s="52" t="s">
        <v>611</v>
      </c>
      <c r="B53" s="53" t="s">
        <v>247</v>
      </c>
      <c r="C53" s="54"/>
      <c r="D53" s="365">
        <v>50000</v>
      </c>
      <c r="E53" s="623"/>
      <c r="F53" s="624">
        <v>0</v>
      </c>
      <c r="I53" s="36"/>
    </row>
    <row r="54" spans="1:9" ht="15.75">
      <c r="A54" s="117" t="s">
        <v>614</v>
      </c>
      <c r="B54" s="53" t="s">
        <v>248</v>
      </c>
      <c r="C54" s="54"/>
      <c r="D54" s="365">
        <v>0</v>
      </c>
      <c r="E54" s="623"/>
      <c r="F54" s="624">
        <v>0</v>
      </c>
      <c r="I54" s="36"/>
    </row>
    <row r="55" spans="1:9" ht="15.75">
      <c r="A55" s="52" t="s">
        <v>80</v>
      </c>
      <c r="B55" s="53" t="s">
        <v>249</v>
      </c>
      <c r="C55" s="54"/>
      <c r="D55" s="365">
        <v>0</v>
      </c>
      <c r="E55" s="623"/>
      <c r="F55" s="624">
        <v>0</v>
      </c>
      <c r="I55" s="36"/>
    </row>
    <row r="56" spans="1:9" ht="16.5" thickBot="1">
      <c r="A56" s="55" t="s">
        <v>82</v>
      </c>
      <c r="B56" s="56" t="s">
        <v>250</v>
      </c>
      <c r="C56" s="60"/>
      <c r="D56" s="373">
        <v>313</v>
      </c>
      <c r="E56" s="625"/>
      <c r="F56" s="626">
        <v>0</v>
      </c>
      <c r="I56" s="36"/>
    </row>
    <row r="57" spans="1:9" ht="15.75">
      <c r="A57" s="97" t="s">
        <v>186</v>
      </c>
      <c r="B57" s="83" t="s">
        <v>253</v>
      </c>
      <c r="C57" s="48"/>
      <c r="D57" s="380"/>
      <c r="E57" s="621"/>
      <c r="F57" s="622"/>
      <c r="I57" s="36"/>
    </row>
    <row r="58" spans="1:9" ht="15.75">
      <c r="A58" s="52" t="s">
        <v>611</v>
      </c>
      <c r="B58" s="381" t="s">
        <v>232</v>
      </c>
      <c r="C58" s="54"/>
      <c r="D58" s="365">
        <v>172530</v>
      </c>
      <c r="E58" s="623"/>
      <c r="F58" s="624">
        <v>232329</v>
      </c>
      <c r="I58" s="36"/>
    </row>
    <row r="59" spans="1:9" ht="15.75">
      <c r="A59" s="52" t="s">
        <v>614</v>
      </c>
      <c r="B59" s="53" t="s">
        <v>233</v>
      </c>
      <c r="C59" s="54"/>
      <c r="D59" s="365">
        <v>0</v>
      </c>
      <c r="E59" s="623"/>
      <c r="F59" s="624">
        <v>0</v>
      </c>
      <c r="I59" s="36"/>
    </row>
    <row r="60" spans="1:9" ht="16.5" thickBot="1">
      <c r="A60" s="55"/>
      <c r="B60" s="56" t="s">
        <v>234</v>
      </c>
      <c r="C60" s="57"/>
      <c r="D60" s="373">
        <f>D58-D59</f>
        <v>172530</v>
      </c>
      <c r="E60" s="627"/>
      <c r="F60" s="626">
        <f>F58-F59</f>
        <v>232329</v>
      </c>
      <c r="I60" s="36"/>
    </row>
    <row r="61" spans="1:9" ht="15.75">
      <c r="A61" s="97" t="s">
        <v>109</v>
      </c>
      <c r="B61" s="83" t="s">
        <v>254</v>
      </c>
      <c r="C61" s="48"/>
      <c r="D61" s="380"/>
      <c r="E61" s="621"/>
      <c r="F61" s="622"/>
      <c r="I61" s="36"/>
    </row>
    <row r="62" spans="1:9" ht="15.75">
      <c r="A62" s="52" t="s">
        <v>611</v>
      </c>
      <c r="B62" s="381" t="s">
        <v>235</v>
      </c>
      <c r="C62" s="54"/>
      <c r="D62" s="365">
        <v>61587</v>
      </c>
      <c r="E62" s="623"/>
      <c r="F62" s="624">
        <v>213641</v>
      </c>
      <c r="I62" s="36"/>
    </row>
    <row r="63" spans="1:9" ht="15.75">
      <c r="A63" s="52" t="s">
        <v>614</v>
      </c>
      <c r="B63" s="53" t="s">
        <v>236</v>
      </c>
      <c r="C63" s="54"/>
      <c r="D63" s="365">
        <v>0</v>
      </c>
      <c r="E63" s="623"/>
      <c r="F63" s="624">
        <v>0</v>
      </c>
      <c r="I63" s="36"/>
    </row>
    <row r="64" spans="1:9" ht="16.5" thickBot="1">
      <c r="A64" s="55"/>
      <c r="B64" s="56" t="s">
        <v>234</v>
      </c>
      <c r="C64" s="57"/>
      <c r="D64" s="373">
        <f>D62-D63</f>
        <v>61587</v>
      </c>
      <c r="E64" s="627"/>
      <c r="F64" s="626">
        <f>F62-F63</f>
        <v>213641</v>
      </c>
      <c r="I64" s="36"/>
    </row>
    <row r="65" spans="1:9" ht="15.75">
      <c r="A65" s="97" t="s">
        <v>112</v>
      </c>
      <c r="B65" s="83" t="s">
        <v>110</v>
      </c>
      <c r="C65" s="48"/>
      <c r="D65" s="380">
        <v>1401913</v>
      </c>
      <c r="E65" s="621"/>
      <c r="F65" s="622">
        <f>F67+F69</f>
        <v>1964447</v>
      </c>
      <c r="I65" s="36"/>
    </row>
    <row r="66" spans="1:9" ht="15.75">
      <c r="A66" s="49"/>
      <c r="B66" s="53" t="s">
        <v>111</v>
      </c>
      <c r="C66" s="54"/>
      <c r="D66" s="365"/>
      <c r="E66" s="623"/>
      <c r="F66" s="624"/>
      <c r="I66" s="36"/>
    </row>
    <row r="67" spans="1:9" ht="15.75">
      <c r="A67" s="52" t="s">
        <v>611</v>
      </c>
      <c r="B67" s="53" t="s">
        <v>251</v>
      </c>
      <c r="C67" s="54"/>
      <c r="D67" s="365"/>
      <c r="E67" s="623"/>
      <c r="F67" s="624">
        <v>0</v>
      </c>
      <c r="I67" s="36"/>
    </row>
    <row r="68" spans="1:9" ht="15.75">
      <c r="A68" s="52" t="s">
        <v>612</v>
      </c>
      <c r="B68" s="53" t="s">
        <v>119</v>
      </c>
      <c r="C68" s="51"/>
      <c r="D68" s="365">
        <v>0</v>
      </c>
      <c r="E68" s="628"/>
      <c r="F68" s="624">
        <v>0</v>
      </c>
      <c r="I68" s="36"/>
    </row>
    <row r="69" spans="1:9" ht="16.5" thickBot="1">
      <c r="A69" s="55" t="s">
        <v>614</v>
      </c>
      <c r="B69" s="56" t="s">
        <v>446</v>
      </c>
      <c r="C69" s="60"/>
      <c r="D69" s="373">
        <f>D65</f>
        <v>1401913</v>
      </c>
      <c r="E69" s="625"/>
      <c r="F69" s="626">
        <v>1964447</v>
      </c>
      <c r="I69" s="36"/>
    </row>
    <row r="70" spans="1:9" ht="15.75">
      <c r="A70" s="97" t="s">
        <v>114</v>
      </c>
      <c r="B70" s="83" t="s">
        <v>113</v>
      </c>
      <c r="C70" s="61"/>
      <c r="D70" s="380">
        <v>1301914</v>
      </c>
      <c r="E70" s="629"/>
      <c r="F70" s="622">
        <f>F72+F74</f>
        <v>1919210</v>
      </c>
      <c r="I70" s="36"/>
    </row>
    <row r="71" spans="1:9" ht="15.75">
      <c r="A71" s="49"/>
      <c r="B71" s="53" t="s">
        <v>189</v>
      </c>
      <c r="C71" s="54"/>
      <c r="D71" s="365"/>
      <c r="E71" s="623"/>
      <c r="F71" s="624"/>
      <c r="I71" s="36"/>
    </row>
    <row r="72" spans="1:9" ht="15.75">
      <c r="A72" s="52" t="s">
        <v>611</v>
      </c>
      <c r="B72" s="53" t="s">
        <v>252</v>
      </c>
      <c r="C72" s="51"/>
      <c r="D72" s="365"/>
      <c r="E72" s="628"/>
      <c r="F72" s="624">
        <v>0</v>
      </c>
      <c r="I72" s="36"/>
    </row>
    <row r="73" spans="1:9" ht="15.75">
      <c r="A73" s="52" t="s">
        <v>612</v>
      </c>
      <c r="B73" s="53" t="s">
        <v>119</v>
      </c>
      <c r="C73" s="51"/>
      <c r="D73" s="365">
        <v>0</v>
      </c>
      <c r="E73" s="628"/>
      <c r="F73" s="624">
        <v>0</v>
      </c>
      <c r="I73" s="36"/>
    </row>
    <row r="74" spans="1:9" ht="16.5" thickBot="1">
      <c r="A74" s="55" t="s">
        <v>614</v>
      </c>
      <c r="B74" s="56" t="s">
        <v>446</v>
      </c>
      <c r="C74" s="60"/>
      <c r="D74" s="373">
        <f>D70</f>
        <v>1301914</v>
      </c>
      <c r="E74" s="625"/>
      <c r="F74" s="626">
        <v>1919210</v>
      </c>
      <c r="I74" s="36"/>
    </row>
    <row r="75" spans="1:9" ht="16.5" thickBot="1">
      <c r="A75" s="96" t="s">
        <v>115</v>
      </c>
      <c r="B75" s="58" t="s">
        <v>188</v>
      </c>
      <c r="C75" s="47"/>
      <c r="D75" s="382">
        <v>2123</v>
      </c>
      <c r="E75" s="630"/>
      <c r="F75" s="631">
        <v>507426</v>
      </c>
      <c r="I75" s="36"/>
    </row>
    <row r="76" spans="1:9" ht="15.75">
      <c r="A76" s="98" t="s">
        <v>116</v>
      </c>
      <c r="B76" s="99" t="s">
        <v>260</v>
      </c>
      <c r="C76" s="88"/>
      <c r="D76" s="383">
        <v>0</v>
      </c>
      <c r="E76" s="632"/>
      <c r="F76" s="633">
        <f>F77+F78</f>
        <v>0</v>
      </c>
      <c r="I76" s="36"/>
    </row>
    <row r="77" spans="1:9" ht="15.75">
      <c r="A77" s="52" t="s">
        <v>611</v>
      </c>
      <c r="B77" s="53" t="s">
        <v>261</v>
      </c>
      <c r="C77" s="54"/>
      <c r="D77" s="365">
        <v>0</v>
      </c>
      <c r="E77" s="623"/>
      <c r="F77" s="624">
        <v>0</v>
      </c>
      <c r="I77" s="36"/>
    </row>
    <row r="78" spans="1:6" ht="16.5" thickBot="1">
      <c r="A78" s="55" t="s">
        <v>614</v>
      </c>
      <c r="B78" s="56" t="s">
        <v>262</v>
      </c>
      <c r="C78" s="57"/>
      <c r="D78" s="373">
        <v>0</v>
      </c>
      <c r="E78" s="627"/>
      <c r="F78" s="626">
        <v>0</v>
      </c>
    </row>
    <row r="79" spans="1:6" ht="16.5" thickBot="1">
      <c r="A79" s="96" t="s">
        <v>241</v>
      </c>
      <c r="B79" s="58" t="s">
        <v>265</v>
      </c>
      <c r="C79" s="62"/>
      <c r="D79" s="382">
        <v>0</v>
      </c>
      <c r="E79" s="634"/>
      <c r="F79" s="631">
        <v>0</v>
      </c>
    </row>
    <row r="80" spans="1:6" ht="15.75">
      <c r="A80" s="97" t="s">
        <v>242</v>
      </c>
      <c r="B80" s="83" t="s">
        <v>187</v>
      </c>
      <c r="C80" s="48"/>
      <c r="D80" s="380">
        <v>186678</v>
      </c>
      <c r="E80" s="621"/>
      <c r="F80" s="622"/>
    </row>
    <row r="81" spans="1:6" ht="16.5" thickBot="1">
      <c r="A81" s="65"/>
      <c r="B81" s="56" t="s">
        <v>119</v>
      </c>
      <c r="C81" s="60"/>
      <c r="D81" s="373">
        <v>0</v>
      </c>
      <c r="E81" s="625"/>
      <c r="F81" s="626"/>
    </row>
    <row r="82" spans="1:6" ht="48" thickBot="1">
      <c r="A82" s="96" t="s">
        <v>242</v>
      </c>
      <c r="B82" s="647" t="s">
        <v>689</v>
      </c>
      <c r="C82" s="62"/>
      <c r="D82" s="382">
        <f>D19+D41+D59+D62+D65+D75+D78+D79+D32</f>
        <v>5103771</v>
      </c>
      <c r="E82" s="634"/>
      <c r="F82" s="631">
        <f>F19+F41+F59+F62+F65+F75+F78+F79</f>
        <v>6472390</v>
      </c>
    </row>
    <row r="83" spans="1:6" ht="47.25">
      <c r="A83" s="97" t="s">
        <v>243</v>
      </c>
      <c r="B83" s="648" t="s">
        <v>690</v>
      </c>
      <c r="C83" s="61"/>
      <c r="D83" s="380">
        <f>D25+D58+D63+D49+D51+D70+D77+D80+D45</f>
        <v>5217771</v>
      </c>
      <c r="E83" s="629"/>
      <c r="F83" s="622">
        <f>F25-F32+F45+F58+F63+F49+F51+F70+F77+F80</f>
        <v>5829232</v>
      </c>
    </row>
    <row r="84" spans="1:6" ht="32.25" thickBot="1">
      <c r="A84" s="118"/>
      <c r="B84" s="126" t="s">
        <v>256</v>
      </c>
      <c r="C84" s="127"/>
      <c r="D84" s="368">
        <f>D82-D83</f>
        <v>-114000</v>
      </c>
      <c r="E84" s="635"/>
      <c r="F84" s="636">
        <f>F82-F83</f>
        <v>643158</v>
      </c>
    </row>
    <row r="85" spans="1:6" ht="16.5" thickBot="1">
      <c r="A85" s="120"/>
      <c r="B85" s="121"/>
      <c r="C85" s="122"/>
      <c r="D85" s="384"/>
      <c r="E85" s="637"/>
      <c r="F85" s="638"/>
    </row>
    <row r="86" spans="1:6" ht="15.75">
      <c r="A86" s="119"/>
      <c r="B86" s="99" t="s">
        <v>117</v>
      </c>
      <c r="C86" s="63"/>
      <c r="D86" s="383"/>
      <c r="E86" s="639"/>
      <c r="F86" s="633"/>
    </row>
    <row r="87" spans="1:6" ht="15.75">
      <c r="A87" s="52" t="s">
        <v>611</v>
      </c>
      <c r="B87" s="53" t="s">
        <v>118</v>
      </c>
      <c r="C87" s="64"/>
      <c r="D87" s="385">
        <f>D19-D25+D32</f>
        <v>432847</v>
      </c>
      <c r="E87" s="640"/>
      <c r="F87" s="641"/>
    </row>
    <row r="88" spans="1:6" ht="15.75">
      <c r="A88" s="161" t="s">
        <v>320</v>
      </c>
      <c r="B88" s="162" t="s">
        <v>120</v>
      </c>
      <c r="C88" s="163"/>
      <c r="D88" s="386"/>
      <c r="E88" s="642"/>
      <c r="F88" s="643"/>
    </row>
    <row r="89" spans="1:6" ht="16.5" thickBot="1">
      <c r="A89" s="55" t="s">
        <v>321</v>
      </c>
      <c r="B89" s="56" t="s">
        <v>328</v>
      </c>
      <c r="C89" s="66"/>
      <c r="D89" s="387"/>
      <c r="E89" s="644"/>
      <c r="F89" s="645"/>
    </row>
    <row r="90" spans="5:6" ht="15.75">
      <c r="E90" s="174"/>
      <c r="F90" s="174"/>
    </row>
    <row r="91" spans="1:6" ht="15.75">
      <c r="A91" s="68" t="s">
        <v>121</v>
      </c>
      <c r="B91" s="67"/>
      <c r="C91" s="67"/>
      <c r="D91" s="67"/>
      <c r="E91" s="646"/>
      <c r="F91" s="646"/>
    </row>
  </sheetData>
  <sheetProtection/>
  <mergeCells count="6">
    <mergeCell ref="A6:F6"/>
    <mergeCell ref="A16:A17"/>
    <mergeCell ref="B16:B17"/>
    <mergeCell ref="E16:F16"/>
    <mergeCell ref="C16:D16"/>
    <mergeCell ref="A9:B9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94"/>
  <sheetViews>
    <sheetView view="pageBreakPreview" zoomScale="70" zoomScaleNormal="70" zoomScaleSheetLayoutView="70" zoomScalePageLayoutView="0" workbookViewId="0" topLeftCell="A4">
      <selection activeCell="B26" sqref="B26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155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ht="15.75">
      <c r="M1" s="4" t="s">
        <v>498</v>
      </c>
    </row>
    <row r="2" ht="15.75">
      <c r="M2" s="4" t="s">
        <v>292</v>
      </c>
    </row>
    <row r="3" ht="15.75">
      <c r="M3" s="4" t="s">
        <v>70</v>
      </c>
    </row>
    <row r="4" ht="15.75">
      <c r="M4" s="4"/>
    </row>
    <row r="5" ht="15.75">
      <c r="A5" s="16"/>
    </row>
    <row r="6" spans="1:13" ht="48" customHeight="1">
      <c r="A6" s="976" t="s">
        <v>1045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</row>
    <row r="8" spans="2:13" ht="15.75">
      <c r="B8" s="511"/>
      <c r="C8" s="512"/>
      <c r="M8" s="4" t="s">
        <v>293</v>
      </c>
    </row>
    <row r="9" spans="2:13" ht="15.75">
      <c r="B9" s="929"/>
      <c r="C9" s="929"/>
      <c r="M9" s="4" t="s">
        <v>995</v>
      </c>
    </row>
    <row r="10" spans="2:13" ht="15.75">
      <c r="B10" s="511"/>
      <c r="C10" s="512"/>
      <c r="M10" s="4" t="s">
        <v>569</v>
      </c>
    </row>
    <row r="11" spans="2:13" ht="15.75">
      <c r="B11" s="511"/>
      <c r="C11" s="512"/>
      <c r="M11" s="270" t="s">
        <v>997</v>
      </c>
    </row>
    <row r="12" spans="1:13" ht="15.75">
      <c r="A12" s="16"/>
      <c r="B12" s="511"/>
      <c r="C12" s="512"/>
      <c r="M12" s="4" t="s">
        <v>1046</v>
      </c>
    </row>
    <row r="13" spans="1:13" ht="15.75">
      <c r="A13" s="16"/>
      <c r="B13" s="511"/>
      <c r="C13" s="592"/>
      <c r="M13" s="4" t="s">
        <v>294</v>
      </c>
    </row>
    <row r="14" spans="1:13" ht="16.5" thickBot="1">
      <c r="A14" s="16"/>
      <c r="M14" s="4"/>
    </row>
    <row r="15" spans="1:13" ht="41.25" customHeight="1">
      <c r="A15" s="994" t="s">
        <v>624</v>
      </c>
      <c r="B15" s="964" t="s">
        <v>647</v>
      </c>
      <c r="C15" s="964" t="s">
        <v>380</v>
      </c>
      <c r="D15" s="987" t="s">
        <v>675</v>
      </c>
      <c r="E15" s="988"/>
      <c r="F15" s="969" t="s">
        <v>324</v>
      </c>
      <c r="G15" s="969" t="s">
        <v>325</v>
      </c>
      <c r="H15" s="969" t="s">
        <v>381</v>
      </c>
      <c r="I15" s="964" t="s">
        <v>183</v>
      </c>
      <c r="J15" s="964"/>
      <c r="K15" s="964"/>
      <c r="L15" s="964"/>
      <c r="M15" s="991" t="s">
        <v>626</v>
      </c>
    </row>
    <row r="16" spans="1:13" ht="41.25" customHeight="1">
      <c r="A16" s="995"/>
      <c r="B16" s="965"/>
      <c r="C16" s="965"/>
      <c r="D16" s="989"/>
      <c r="E16" s="990"/>
      <c r="F16" s="970"/>
      <c r="G16" s="970"/>
      <c r="H16" s="970"/>
      <c r="I16" s="965" t="s">
        <v>74</v>
      </c>
      <c r="J16" s="965" t="s">
        <v>178</v>
      </c>
      <c r="K16" s="965" t="s">
        <v>141</v>
      </c>
      <c r="L16" s="965"/>
      <c r="M16" s="992"/>
    </row>
    <row r="17" spans="1:13" ht="89.25" customHeight="1">
      <c r="A17" s="995"/>
      <c r="B17" s="965"/>
      <c r="C17" s="965"/>
      <c r="D17" s="222" t="s">
        <v>190</v>
      </c>
      <c r="E17" s="222" t="s">
        <v>191</v>
      </c>
      <c r="F17" s="971"/>
      <c r="G17" s="971"/>
      <c r="H17" s="971"/>
      <c r="I17" s="965"/>
      <c r="J17" s="965"/>
      <c r="K17" s="222" t="s">
        <v>140</v>
      </c>
      <c r="L17" s="222" t="s">
        <v>177</v>
      </c>
      <c r="M17" s="993"/>
    </row>
    <row r="18" spans="1:13" ht="48.75" customHeight="1">
      <c r="A18" s="221"/>
      <c r="B18" s="222" t="s">
        <v>571</v>
      </c>
      <c r="C18" s="222"/>
      <c r="D18" s="292">
        <f>SUM(D19,D56,D65,D66,D67,D68,D69,D70,D71,D72)</f>
        <v>129.8062776</v>
      </c>
      <c r="E18" s="228">
        <f>SUM(E19,E56,E65,E66,E67,E68,E69,E70,E71,E72)</f>
        <v>165.4976786</v>
      </c>
      <c r="F18" s="228">
        <v>165.879739</v>
      </c>
      <c r="G18" s="228">
        <v>165.879739</v>
      </c>
      <c r="H18" s="228">
        <f>SUM(H19,H56,H65,H66,H67,H68,H69,H70,H71,H72)</f>
        <v>0</v>
      </c>
      <c r="I18" s="222"/>
      <c r="J18" s="222"/>
      <c r="K18" s="222"/>
      <c r="L18" s="222"/>
      <c r="M18" s="293"/>
    </row>
    <row r="19" spans="1:13" ht="31.5">
      <c r="A19" s="279" t="s">
        <v>611</v>
      </c>
      <c r="B19" s="214" t="s">
        <v>181</v>
      </c>
      <c r="C19" s="214"/>
      <c r="D19" s="286">
        <f>SUM(D20,D48)</f>
        <v>111.34441059999999</v>
      </c>
      <c r="E19" s="289">
        <f>SUM(E20,E48)</f>
        <v>112.94011280000001</v>
      </c>
      <c r="F19" s="289">
        <v>113.32217320000001</v>
      </c>
      <c r="G19" s="289">
        <v>113.32217320000001</v>
      </c>
      <c r="H19" s="289">
        <f>SUM(H20,H48)</f>
        <v>0</v>
      </c>
      <c r="I19" s="280"/>
      <c r="J19" s="280"/>
      <c r="K19" s="280"/>
      <c r="L19" s="280"/>
      <c r="M19" s="281"/>
    </row>
    <row r="20" spans="1:13" ht="31.5">
      <c r="A20" s="278" t="s">
        <v>612</v>
      </c>
      <c r="B20" s="275" t="s">
        <v>179</v>
      </c>
      <c r="C20" s="275"/>
      <c r="D20" s="285">
        <f>SUM(D22:D47)</f>
        <v>60.0143988</v>
      </c>
      <c r="E20" s="290">
        <f>SUM(E22:E47)</f>
        <v>53.19077740000001</v>
      </c>
      <c r="F20" s="290">
        <v>53.5728378</v>
      </c>
      <c r="G20" s="290">
        <v>53.5728378</v>
      </c>
      <c r="H20" s="276"/>
      <c r="I20" s="276"/>
      <c r="J20" s="276"/>
      <c r="K20" s="276"/>
      <c r="L20" s="276"/>
      <c r="M20" s="277"/>
    </row>
    <row r="21" spans="1:13" ht="15.75">
      <c r="A21" s="278" t="str">
        <f>'приложение 7.1'!A22</f>
        <v>1.1.1.</v>
      </c>
      <c r="B21" s="826" t="str">
        <f>'приложение 7.1'!B22</f>
        <v>ВЛ-0,4 кВ</v>
      </c>
      <c r="C21" s="275"/>
      <c r="D21" s="285">
        <f>'приложение 7.1'!D22</f>
        <v>4.2896776</v>
      </c>
      <c r="E21" s="290">
        <f>'приложение 7.1'!E22</f>
        <v>4.1287728</v>
      </c>
      <c r="F21" s="290">
        <f>E21</f>
        <v>4.1287728</v>
      </c>
      <c r="G21" s="290"/>
      <c r="H21" s="276"/>
      <c r="I21" s="276"/>
      <c r="J21" s="276"/>
      <c r="K21" s="276"/>
      <c r="L21" s="276"/>
      <c r="M21" s="277"/>
    </row>
    <row r="22" spans="1:13" ht="15.75">
      <c r="A22" s="886" t="str">
        <f>'приложение 7.1'!A23</f>
        <v>1.1.1.1.</v>
      </c>
      <c r="B22" s="156" t="str">
        <f>'приложение 7.1'!B23</f>
        <v>г.Чебоксары</v>
      </c>
      <c r="C22" s="5"/>
      <c r="D22" s="887">
        <f>D23</f>
        <v>0</v>
      </c>
      <c r="E22" s="887">
        <f>E23</f>
        <v>0</v>
      </c>
      <c r="F22" s="887">
        <f>F23</f>
        <v>0</v>
      </c>
      <c r="G22" s="887">
        <f>G23</f>
        <v>0</v>
      </c>
      <c r="H22" s="227" t="s">
        <v>598</v>
      </c>
      <c r="I22" s="27"/>
      <c r="J22" s="27"/>
      <c r="K22" s="27"/>
      <c r="L22" s="27"/>
      <c r="M22" s="888"/>
    </row>
    <row r="23" spans="1:13" ht="15.75">
      <c r="A23" s="19"/>
      <c r="B23" s="5"/>
      <c r="C23" s="5"/>
      <c r="D23" s="284"/>
      <c r="E23" s="229"/>
      <c r="F23" s="229"/>
      <c r="G23" s="229"/>
      <c r="H23" s="229"/>
      <c r="I23" s="6"/>
      <c r="J23" s="6"/>
      <c r="K23" s="6"/>
      <c r="L23" s="6"/>
      <c r="M23" s="7"/>
    </row>
    <row r="24" spans="1:13" ht="15.75">
      <c r="A24" s="886" t="str">
        <f>'приложение 7.1'!A25</f>
        <v>1.1.1.2.</v>
      </c>
      <c r="B24" s="156" t="str">
        <f>'приложение 7.1'!B25</f>
        <v>г.Мариинский Посад</v>
      </c>
      <c r="C24" s="5"/>
      <c r="D24" s="887">
        <f>'приложение 7.1'!D25</f>
        <v>4.2896776</v>
      </c>
      <c r="E24" s="227">
        <f>0.8369*1.18</f>
        <v>0.9875419999999999</v>
      </c>
      <c r="F24" s="227">
        <v>0.9875419999999999</v>
      </c>
      <c r="G24" s="227">
        <v>0.9875419999999999</v>
      </c>
      <c r="H24" s="227" t="s">
        <v>598</v>
      </c>
      <c r="I24" s="27"/>
      <c r="J24" s="27"/>
      <c r="K24" s="27"/>
      <c r="L24" s="27"/>
      <c r="M24" s="888"/>
    </row>
    <row r="25" spans="1:13" ht="43.5" customHeight="1">
      <c r="A25" s="19">
        <f>'приложение 7.1'!A26</f>
        <v>1</v>
      </c>
      <c r="B25" s="5" t="str">
        <f>'приложение 7.1'!B26</f>
        <v>Реконструкция ВЛ-0,4 кВ с заменой на СИП, с установкой КТПК №5 </v>
      </c>
      <c r="C25" s="5"/>
      <c r="D25" s="284">
        <f>'приложение 7.1'!D26</f>
        <v>4.2896776</v>
      </c>
      <c r="E25" s="229">
        <f>'приложение 7.1'!E26</f>
        <v>4.1287728</v>
      </c>
      <c r="F25" s="229">
        <f>'приложение 7.1'!R26</f>
        <v>4.1287728</v>
      </c>
      <c r="G25" s="229">
        <f>'приложение 7.1'!E26</f>
        <v>4.1287728</v>
      </c>
      <c r="H25" s="229">
        <f>D25-E25</f>
        <v>0.16090479999999996</v>
      </c>
      <c r="I25" s="457">
        <f>'приложение 7.1'!W26</f>
        <v>0.16090479999999996</v>
      </c>
      <c r="J25" s="851">
        <f>'приложение 7.1'!X26</f>
        <v>0.03750976530264185</v>
      </c>
      <c r="K25" s="6">
        <f>'приложение 7.1'!Y26</f>
        <v>0</v>
      </c>
      <c r="L25" s="350">
        <f>'приложение 7.1'!Z26</f>
        <v>0.16090479999999996</v>
      </c>
      <c r="M25" s="7" t="str">
        <f>'приложение 7.1'!AA26</f>
        <v>Не выполнен демонтаж опор</v>
      </c>
    </row>
    <row r="26" spans="1:13" ht="31.5">
      <c r="A26" s="19">
        <v>5</v>
      </c>
      <c r="B26" s="5" t="s">
        <v>582</v>
      </c>
      <c r="C26" s="5"/>
      <c r="D26" s="284">
        <f>1.791*1.18</f>
        <v>2.11338</v>
      </c>
      <c r="E26" s="229">
        <f>'приложение 7.1'!E26</f>
        <v>4.1287728</v>
      </c>
      <c r="F26" s="229">
        <v>2.2066</v>
      </c>
      <c r="G26" s="229">
        <v>2.2066</v>
      </c>
      <c r="H26" s="229" t="s">
        <v>598</v>
      </c>
      <c r="I26" s="6"/>
      <c r="J26" s="6"/>
      <c r="K26" s="6"/>
      <c r="L26" s="6"/>
      <c r="M26" s="7"/>
    </row>
    <row r="27" spans="1:13" ht="31.5">
      <c r="A27" s="19">
        <v>6</v>
      </c>
      <c r="B27" s="5" t="s">
        <v>583</v>
      </c>
      <c r="C27" s="5"/>
      <c r="D27" s="284">
        <f>0.7544*1.18</f>
        <v>0.8901919999999999</v>
      </c>
      <c r="E27" s="229">
        <f>0.659*1.18</f>
        <v>0.77762</v>
      </c>
      <c r="F27" s="229">
        <v>0.77762</v>
      </c>
      <c r="G27" s="229">
        <v>0.77762</v>
      </c>
      <c r="H27" s="229" t="s">
        <v>598</v>
      </c>
      <c r="I27" s="6"/>
      <c r="J27" s="6"/>
      <c r="K27" s="6"/>
      <c r="L27" s="6"/>
      <c r="M27" s="7"/>
    </row>
    <row r="28" spans="1:13" ht="31.5">
      <c r="A28" s="19">
        <v>7</v>
      </c>
      <c r="B28" s="5" t="s">
        <v>584</v>
      </c>
      <c r="C28" s="5"/>
      <c r="D28" s="284">
        <f>0.6029*1.18</f>
        <v>0.711422</v>
      </c>
      <c r="E28" s="229">
        <f>0.608*1.18</f>
        <v>0.71744</v>
      </c>
      <c r="F28" s="229">
        <v>0.71744</v>
      </c>
      <c r="G28" s="229">
        <v>0.71744</v>
      </c>
      <c r="H28" s="229" t="s">
        <v>598</v>
      </c>
      <c r="I28" s="6"/>
      <c r="J28" s="6"/>
      <c r="K28" s="6"/>
      <c r="L28" s="6"/>
      <c r="M28" s="7"/>
    </row>
    <row r="29" spans="1:13" ht="31.5">
      <c r="A29" s="19">
        <v>8</v>
      </c>
      <c r="B29" s="5" t="s">
        <v>585</v>
      </c>
      <c r="C29" s="5"/>
      <c r="D29" s="284">
        <f>1.4723*1.18</f>
        <v>1.7373139999999998</v>
      </c>
      <c r="E29" s="229">
        <f>1.369*1.18</f>
        <v>1.6154199999999999</v>
      </c>
      <c r="F29" s="229">
        <v>1.6154199999999999</v>
      </c>
      <c r="G29" s="229">
        <v>1.6154199999999999</v>
      </c>
      <c r="H29" s="229" t="s">
        <v>598</v>
      </c>
      <c r="I29" s="6"/>
      <c r="J29" s="6"/>
      <c r="K29" s="6"/>
      <c r="L29" s="6"/>
      <c r="M29" s="7"/>
    </row>
    <row r="30" spans="1:13" ht="31.5">
      <c r="A30" s="19">
        <v>9</v>
      </c>
      <c r="B30" s="5" t="s">
        <v>586</v>
      </c>
      <c r="C30" s="5"/>
      <c r="D30" s="284">
        <f>10.3142*1.18</f>
        <v>12.170755999999999</v>
      </c>
      <c r="E30" s="229">
        <f>10.349*1.18</f>
        <v>12.21182</v>
      </c>
      <c r="F30" s="229">
        <v>12.21182</v>
      </c>
      <c r="G30" s="229">
        <v>12.21182</v>
      </c>
      <c r="H30" s="229" t="s">
        <v>598</v>
      </c>
      <c r="I30" s="6"/>
      <c r="J30" s="6"/>
      <c r="K30" s="6"/>
      <c r="L30" s="6"/>
      <c r="M30" s="7"/>
    </row>
    <row r="31" spans="1:13" ht="31.5">
      <c r="A31" s="19">
        <v>10</v>
      </c>
      <c r="B31" s="5" t="s">
        <v>587</v>
      </c>
      <c r="C31" s="5"/>
      <c r="D31" s="284">
        <f>4.6749*1.18</f>
        <v>5.516382</v>
      </c>
      <c r="E31" s="229">
        <f>4.389*1.18</f>
        <v>5.17902</v>
      </c>
      <c r="F31" s="229">
        <v>5.17902</v>
      </c>
      <c r="G31" s="229">
        <v>5.17902</v>
      </c>
      <c r="H31" s="229" t="s">
        <v>598</v>
      </c>
      <c r="I31" s="6"/>
      <c r="J31" s="6"/>
      <c r="K31" s="6"/>
      <c r="L31" s="6"/>
      <c r="M31" s="7"/>
    </row>
    <row r="32" spans="1:13" ht="31.5">
      <c r="A32" s="19">
        <v>11</v>
      </c>
      <c r="B32" s="5" t="s">
        <v>667</v>
      </c>
      <c r="C32" s="5"/>
      <c r="D32" s="284">
        <f>1.7948*1.18</f>
        <v>2.117864</v>
      </c>
      <c r="E32" s="284">
        <v>0</v>
      </c>
      <c r="F32" s="229">
        <v>0</v>
      </c>
      <c r="G32" s="229">
        <v>0</v>
      </c>
      <c r="H32" s="229" t="s">
        <v>598</v>
      </c>
      <c r="I32" s="6"/>
      <c r="J32" s="6"/>
      <c r="K32" s="6"/>
      <c r="L32" s="6"/>
      <c r="M32" s="7"/>
    </row>
    <row r="33" spans="1:13" ht="31.5">
      <c r="A33" s="19">
        <v>12</v>
      </c>
      <c r="B33" s="5" t="s">
        <v>588</v>
      </c>
      <c r="C33" s="5"/>
      <c r="D33" s="284">
        <f>5.3123*1.18</f>
        <v>6.268513999999999</v>
      </c>
      <c r="E33" s="284">
        <f>5.189*1.18</f>
        <v>6.1230199999999995</v>
      </c>
      <c r="F33" s="229">
        <v>6.1230199999999995</v>
      </c>
      <c r="G33" s="229">
        <v>6.1230199999999995</v>
      </c>
      <c r="H33" s="229" t="s">
        <v>598</v>
      </c>
      <c r="I33" s="6"/>
      <c r="J33" s="6"/>
      <c r="K33" s="6"/>
      <c r="L33" s="6"/>
      <c r="M33" s="7"/>
    </row>
    <row r="34" spans="1:13" ht="31.5">
      <c r="A34" s="19">
        <v>13</v>
      </c>
      <c r="B34" s="5" t="s">
        <v>589</v>
      </c>
      <c r="C34" s="5"/>
      <c r="D34" s="284">
        <f>0.0656*1.18</f>
        <v>0.077408</v>
      </c>
      <c r="E34" s="284">
        <f>0.077*1.18</f>
        <v>0.09086</v>
      </c>
      <c r="F34" s="229">
        <v>0.09086</v>
      </c>
      <c r="G34" s="229">
        <v>0.09086</v>
      </c>
      <c r="H34" s="229" t="s">
        <v>598</v>
      </c>
      <c r="I34" s="6"/>
      <c r="J34" s="6"/>
      <c r="K34" s="6"/>
      <c r="L34" s="6"/>
      <c r="M34" s="7"/>
    </row>
    <row r="35" spans="1:13" ht="31.5">
      <c r="A35" s="19">
        <v>14</v>
      </c>
      <c r="B35" s="5" t="s">
        <v>668</v>
      </c>
      <c r="C35" s="5"/>
      <c r="D35" s="284">
        <f>9.44662*1.18</f>
        <v>11.147011599999999</v>
      </c>
      <c r="E35" s="229">
        <f>7.839*1.18</f>
        <v>9.25002</v>
      </c>
      <c r="F35" s="229">
        <v>9.25002</v>
      </c>
      <c r="G35" s="229">
        <v>9.25002</v>
      </c>
      <c r="H35" s="229" t="s">
        <v>598</v>
      </c>
      <c r="I35" s="6"/>
      <c r="J35" s="6"/>
      <c r="K35" s="6"/>
      <c r="L35" s="6"/>
      <c r="M35" s="7"/>
    </row>
    <row r="36" spans="1:13" ht="31.5">
      <c r="A36" s="19">
        <v>15</v>
      </c>
      <c r="B36" s="5" t="s">
        <v>590</v>
      </c>
      <c r="C36" s="5"/>
      <c r="D36" s="284">
        <f>0.7607*1.18</f>
        <v>0.897626</v>
      </c>
      <c r="E36" s="229">
        <f>0.53941*1.18</f>
        <v>0.6365038</v>
      </c>
      <c r="F36" s="229">
        <v>0.6365038</v>
      </c>
      <c r="G36" s="229">
        <v>0.6365038</v>
      </c>
      <c r="H36" s="229" t="s">
        <v>598</v>
      </c>
      <c r="I36" s="6"/>
      <c r="J36" s="6"/>
      <c r="K36" s="6"/>
      <c r="L36" s="6"/>
      <c r="M36" s="7"/>
    </row>
    <row r="37" spans="1:13" ht="31.5">
      <c r="A37" s="19">
        <v>16</v>
      </c>
      <c r="B37" s="5" t="s">
        <v>599</v>
      </c>
      <c r="C37" s="5"/>
      <c r="D37" s="284">
        <v>0</v>
      </c>
      <c r="E37" s="284">
        <f>0.01288*1.18</f>
        <v>0.0151984</v>
      </c>
      <c r="F37" s="229">
        <v>0.0151984</v>
      </c>
      <c r="G37" s="229">
        <v>0.0151984</v>
      </c>
      <c r="H37" s="229" t="s">
        <v>598</v>
      </c>
      <c r="I37" s="6"/>
      <c r="J37" s="6"/>
      <c r="K37" s="6"/>
      <c r="L37" s="6"/>
      <c r="M37" s="7"/>
    </row>
    <row r="38" spans="1:13" ht="31.5">
      <c r="A38" s="19">
        <v>17</v>
      </c>
      <c r="B38" s="5" t="s">
        <v>669</v>
      </c>
      <c r="C38" s="5"/>
      <c r="D38" s="284">
        <v>0</v>
      </c>
      <c r="E38" s="284">
        <f>0.05034*1.18</f>
        <v>0.0594012</v>
      </c>
      <c r="F38" s="229">
        <v>0.0594012</v>
      </c>
      <c r="G38" s="229">
        <v>0.0594012</v>
      </c>
      <c r="H38" s="229" t="s">
        <v>598</v>
      </c>
      <c r="I38" s="6"/>
      <c r="J38" s="6"/>
      <c r="K38" s="6"/>
      <c r="L38" s="6"/>
      <c r="M38" s="7"/>
    </row>
    <row r="39" spans="1:13" ht="63">
      <c r="A39" s="19">
        <v>18</v>
      </c>
      <c r="B39" s="5" t="s">
        <v>670</v>
      </c>
      <c r="C39" s="5"/>
      <c r="D39" s="284">
        <v>0</v>
      </c>
      <c r="E39" s="229">
        <f>3.549*1.18</f>
        <v>4.187819999999999</v>
      </c>
      <c r="F39" s="229">
        <v>4.187819999999999</v>
      </c>
      <c r="G39" s="229">
        <v>4.187819999999999</v>
      </c>
      <c r="H39" s="229" t="s">
        <v>598</v>
      </c>
      <c r="I39" s="6"/>
      <c r="J39" s="6"/>
      <c r="K39" s="6"/>
      <c r="L39" s="6"/>
      <c r="M39" s="7"/>
    </row>
    <row r="40" spans="1:13" ht="15.75">
      <c r="A40" s="19">
        <v>19</v>
      </c>
      <c r="B40" s="5" t="s">
        <v>671</v>
      </c>
      <c r="C40" s="5"/>
      <c r="D40" s="284">
        <v>0</v>
      </c>
      <c r="E40" s="229">
        <f>0.211*1.18</f>
        <v>0.24897999999999998</v>
      </c>
      <c r="F40" s="229">
        <v>0.24897999999999998</v>
      </c>
      <c r="G40" s="229">
        <v>0.24897999999999998</v>
      </c>
      <c r="H40" s="229" t="s">
        <v>598</v>
      </c>
      <c r="I40" s="6"/>
      <c r="J40" s="6"/>
      <c r="K40" s="6"/>
      <c r="L40" s="6"/>
      <c r="M40" s="7"/>
    </row>
    <row r="41" spans="1:13" ht="47.25">
      <c r="A41" s="19">
        <v>20</v>
      </c>
      <c r="B41" s="5" t="s">
        <v>591</v>
      </c>
      <c r="C41" s="5"/>
      <c r="D41" s="284">
        <f>3.347*1.18</f>
        <v>3.9494599999999997</v>
      </c>
      <c r="E41" s="229">
        <f>0.081*1.18</f>
        <v>0.09558</v>
      </c>
      <c r="F41" s="229">
        <v>0.09558</v>
      </c>
      <c r="G41" s="229">
        <v>0.09558</v>
      </c>
      <c r="H41" s="229" t="s">
        <v>598</v>
      </c>
      <c r="I41" s="6"/>
      <c r="J41" s="6"/>
      <c r="K41" s="6"/>
      <c r="L41" s="6"/>
      <c r="M41" s="7"/>
    </row>
    <row r="42" spans="1:13" ht="31.5">
      <c r="A42" s="19">
        <v>21</v>
      </c>
      <c r="B42" s="5" t="s">
        <v>672</v>
      </c>
      <c r="C42" s="5"/>
      <c r="D42" s="284">
        <f>0.4157*1.18</f>
        <v>0.490526</v>
      </c>
      <c r="E42" s="229">
        <f>0.149*1.18</f>
        <v>0.17581999999999998</v>
      </c>
      <c r="F42" s="229">
        <v>0.17581999999999998</v>
      </c>
      <c r="G42" s="229">
        <v>0.17581999999999998</v>
      </c>
      <c r="H42" s="229" t="s">
        <v>598</v>
      </c>
      <c r="I42" s="6"/>
      <c r="J42" s="6"/>
      <c r="K42" s="6"/>
      <c r="L42" s="6"/>
      <c r="M42" s="7"/>
    </row>
    <row r="43" spans="1:13" ht="31.5">
      <c r="A43" s="19">
        <v>22</v>
      </c>
      <c r="B43" s="5" t="s">
        <v>0</v>
      </c>
      <c r="C43" s="5"/>
      <c r="D43" s="284">
        <f>0.5105*1.18</f>
        <v>0.6023899999999999</v>
      </c>
      <c r="E43" s="229">
        <f>0.42111*1.18</f>
        <v>0.49690979999999996</v>
      </c>
      <c r="F43" s="229">
        <v>0.49690979999999996</v>
      </c>
      <c r="G43" s="229">
        <v>0.49690979999999996</v>
      </c>
      <c r="H43" s="229" t="s">
        <v>598</v>
      </c>
      <c r="I43" s="6"/>
      <c r="J43" s="6"/>
      <c r="K43" s="6"/>
      <c r="L43" s="6"/>
      <c r="M43" s="7"/>
    </row>
    <row r="44" spans="1:13" ht="15.75">
      <c r="A44" s="19">
        <v>23</v>
      </c>
      <c r="B44" s="5" t="s">
        <v>1</v>
      </c>
      <c r="C44" s="5"/>
      <c r="D44" s="284">
        <f>0.4278*1.18</f>
        <v>0.504804</v>
      </c>
      <c r="E44" s="229">
        <f>0.34037*1.18</f>
        <v>0.4016366</v>
      </c>
      <c r="F44" s="229">
        <v>0.4016366</v>
      </c>
      <c r="G44" s="229">
        <v>0.4016366</v>
      </c>
      <c r="H44" s="229" t="s">
        <v>598</v>
      </c>
      <c r="I44" s="6"/>
      <c r="J44" s="6"/>
      <c r="K44" s="6"/>
      <c r="L44" s="6"/>
      <c r="M44" s="7"/>
    </row>
    <row r="45" spans="1:13" ht="31.5">
      <c r="A45" s="19">
        <v>24</v>
      </c>
      <c r="B45" s="5" t="s">
        <v>2</v>
      </c>
      <c r="C45" s="5"/>
      <c r="D45" s="284">
        <f>0.3366*1.18</f>
        <v>0.397188</v>
      </c>
      <c r="E45" s="229">
        <f>0.249*1.18</f>
        <v>0.29381999999999997</v>
      </c>
      <c r="F45" s="229">
        <v>0.29381999999999997</v>
      </c>
      <c r="G45" s="229">
        <v>0.29381999999999997</v>
      </c>
      <c r="H45" s="229" t="s">
        <v>598</v>
      </c>
      <c r="I45" s="6"/>
      <c r="J45" s="6"/>
      <c r="K45" s="6"/>
      <c r="L45" s="6"/>
      <c r="M45" s="7"/>
    </row>
    <row r="46" spans="1:13" ht="31.5">
      <c r="A46" s="19">
        <v>25</v>
      </c>
      <c r="B46" s="5" t="s">
        <v>3</v>
      </c>
      <c r="C46" s="5"/>
      <c r="D46" s="284">
        <f>1.0617*1.18</f>
        <v>1.252806</v>
      </c>
      <c r="E46" s="229">
        <f>0.79*1.18</f>
        <v>0.9322</v>
      </c>
      <c r="F46" s="229">
        <v>0.9322</v>
      </c>
      <c r="G46" s="229">
        <v>0.9322</v>
      </c>
      <c r="H46" s="229" t="s">
        <v>598</v>
      </c>
      <c r="I46" s="6"/>
      <c r="J46" s="6"/>
      <c r="K46" s="6"/>
      <c r="L46" s="6"/>
      <c r="M46" s="7"/>
    </row>
    <row r="47" spans="1:13" ht="31.5">
      <c r="A47" s="19">
        <v>26</v>
      </c>
      <c r="B47" s="5" t="s">
        <v>592</v>
      </c>
      <c r="C47" s="5"/>
      <c r="D47" s="284">
        <f>0.5*1.18</f>
        <v>0.59</v>
      </c>
      <c r="E47" s="229">
        <f>0.37*1.18</f>
        <v>0.4366</v>
      </c>
      <c r="F47" s="229">
        <v>0.4366</v>
      </c>
      <c r="G47" s="229">
        <v>0.4366</v>
      </c>
      <c r="H47" s="229" t="s">
        <v>598</v>
      </c>
      <c r="I47" s="6"/>
      <c r="J47" s="6"/>
      <c r="K47" s="6"/>
      <c r="L47" s="6"/>
      <c r="M47" s="7"/>
    </row>
    <row r="48" spans="1:13" ht="31.5">
      <c r="A48" s="274" t="s">
        <v>623</v>
      </c>
      <c r="B48" s="275" t="s">
        <v>180</v>
      </c>
      <c r="C48" s="275"/>
      <c r="D48" s="285">
        <f>SUM(D49:D55)</f>
        <v>51.33001179999999</v>
      </c>
      <c r="E48" s="285">
        <f>SUM(E49:E55)</f>
        <v>59.7493354</v>
      </c>
      <c r="F48" s="290">
        <v>59.7493354</v>
      </c>
      <c r="G48" s="290">
        <v>59.7493354</v>
      </c>
      <c r="H48" s="290">
        <f>SUM(H49:H55)</f>
        <v>0</v>
      </c>
      <c r="I48" s="276"/>
      <c r="J48" s="276"/>
      <c r="K48" s="276"/>
      <c r="L48" s="276"/>
      <c r="M48" s="277"/>
    </row>
    <row r="49" spans="1:13" ht="15.75">
      <c r="A49" s="19">
        <v>1</v>
      </c>
      <c r="B49" s="5" t="s">
        <v>593</v>
      </c>
      <c r="C49" s="5"/>
      <c r="D49" s="284">
        <f>8.0018*1.18</f>
        <v>9.442123999999998</v>
      </c>
      <c r="E49" s="229">
        <f>24.86298*1.18</f>
        <v>29.3383164</v>
      </c>
      <c r="F49" s="229">
        <v>29.3383164</v>
      </c>
      <c r="G49" s="229">
        <v>29.3383164</v>
      </c>
      <c r="H49" s="229" t="s">
        <v>598</v>
      </c>
      <c r="I49" s="6"/>
      <c r="J49" s="6"/>
      <c r="K49" s="6"/>
      <c r="L49" s="6"/>
      <c r="M49" s="7"/>
    </row>
    <row r="50" spans="1:13" ht="15.75">
      <c r="A50" s="19">
        <v>2</v>
      </c>
      <c r="B50" s="5" t="s">
        <v>4</v>
      </c>
      <c r="C50" s="5"/>
      <c r="D50" s="284">
        <f>20.18478*1.18</f>
        <v>23.818040399999997</v>
      </c>
      <c r="E50" s="229">
        <f>9.57938*1.18</f>
        <v>11.3036684</v>
      </c>
      <c r="F50" s="229">
        <v>11.3036684</v>
      </c>
      <c r="G50" s="229">
        <v>11.3036684</v>
      </c>
      <c r="H50" s="229" t="s">
        <v>598</v>
      </c>
      <c r="I50" s="6"/>
      <c r="J50" s="6"/>
      <c r="K50" s="6"/>
      <c r="L50" s="6"/>
      <c r="M50" s="7"/>
    </row>
    <row r="51" spans="1:13" ht="36.75" customHeight="1">
      <c r="A51" s="19">
        <v>3</v>
      </c>
      <c r="B51" s="5" t="s">
        <v>5</v>
      </c>
      <c r="C51" s="5"/>
      <c r="D51" s="284">
        <f>6.72826*1.18</f>
        <v>7.939346799999999</v>
      </c>
      <c r="E51" s="229">
        <f>0.91436*1.18</f>
        <v>1.0789448</v>
      </c>
      <c r="F51" s="229">
        <v>1.0789448</v>
      </c>
      <c r="G51" s="229">
        <v>1.0789448</v>
      </c>
      <c r="H51" s="229" t="s">
        <v>598</v>
      </c>
      <c r="I51" s="6"/>
      <c r="J51" s="6"/>
      <c r="K51" s="6"/>
      <c r="L51" s="6"/>
      <c r="M51" s="7"/>
    </row>
    <row r="52" spans="1:13" ht="15.75">
      <c r="A52" s="19">
        <v>4</v>
      </c>
      <c r="B52" s="5" t="s">
        <v>6</v>
      </c>
      <c r="C52" s="5"/>
      <c r="D52" s="284">
        <f>3.81864*1.18</f>
        <v>4.505995199999999</v>
      </c>
      <c r="E52" s="229">
        <f>3.63916*1.18</f>
        <v>4.2942088</v>
      </c>
      <c r="F52" s="229">
        <v>4.2942088</v>
      </c>
      <c r="G52" s="229">
        <v>4.2942088</v>
      </c>
      <c r="H52" s="229" t="s">
        <v>598</v>
      </c>
      <c r="I52" s="6"/>
      <c r="J52" s="6"/>
      <c r="K52" s="6"/>
      <c r="L52" s="6"/>
      <c r="M52" s="7"/>
    </row>
    <row r="53" spans="1:13" ht="15.75">
      <c r="A53" s="19">
        <v>5</v>
      </c>
      <c r="B53" s="5" t="s">
        <v>594</v>
      </c>
      <c r="C53" s="5"/>
      <c r="D53" s="284">
        <f>1.38019*1.18</f>
        <v>1.6286242</v>
      </c>
      <c r="E53" s="229">
        <f>3.73207*1.18</f>
        <v>4.4038426</v>
      </c>
      <c r="F53" s="229">
        <v>4.4038426</v>
      </c>
      <c r="G53" s="229">
        <v>4.4038426</v>
      </c>
      <c r="H53" s="229" t="s">
        <v>598</v>
      </c>
      <c r="I53" s="6"/>
      <c r="J53" s="6"/>
      <c r="K53" s="6"/>
      <c r="L53" s="6"/>
      <c r="M53" s="7"/>
    </row>
    <row r="54" spans="1:13" ht="31.5">
      <c r="A54" s="19">
        <v>6</v>
      </c>
      <c r="B54" s="5" t="s">
        <v>7</v>
      </c>
      <c r="C54" s="5"/>
      <c r="D54" s="284">
        <f>3.38634*1.18</f>
        <v>3.9958812</v>
      </c>
      <c r="E54" s="229">
        <f>4.46048*1.18</f>
        <v>5.263366399999999</v>
      </c>
      <c r="F54" s="229">
        <v>5.263366399999999</v>
      </c>
      <c r="G54" s="229">
        <v>5.263366399999999</v>
      </c>
      <c r="H54" s="229" t="s">
        <v>598</v>
      </c>
      <c r="I54" s="6"/>
      <c r="J54" s="6"/>
      <c r="K54" s="6"/>
      <c r="L54" s="6"/>
      <c r="M54" s="7"/>
    </row>
    <row r="55" spans="1:13" ht="31.5">
      <c r="A55" s="19">
        <v>7</v>
      </c>
      <c r="B55" s="5" t="s">
        <v>602</v>
      </c>
      <c r="C55" s="5"/>
      <c r="D55" s="284">
        <v>0</v>
      </c>
      <c r="E55" s="229">
        <f>3.4466*1.18</f>
        <v>4.066988</v>
      </c>
      <c r="F55" s="229">
        <v>4.066988</v>
      </c>
      <c r="G55" s="229">
        <v>4.066988</v>
      </c>
      <c r="H55" s="229" t="s">
        <v>598</v>
      </c>
      <c r="I55" s="6"/>
      <c r="J55" s="6"/>
      <c r="K55" s="6"/>
      <c r="L55" s="6"/>
      <c r="M55" s="7"/>
    </row>
    <row r="56" spans="1:13" ht="15.75">
      <c r="A56" s="279" t="s">
        <v>614</v>
      </c>
      <c r="B56" s="214" t="s">
        <v>659</v>
      </c>
      <c r="C56" s="214"/>
      <c r="D56" s="286">
        <f>D57</f>
        <v>6.760456</v>
      </c>
      <c r="E56" s="286">
        <f>E57</f>
        <v>37.943076999999995</v>
      </c>
      <c r="F56" s="289">
        <v>37.943076999999995</v>
      </c>
      <c r="G56" s="289">
        <v>37.943076999999995</v>
      </c>
      <c r="H56" s="280" t="s">
        <v>598</v>
      </c>
      <c r="I56" s="280"/>
      <c r="J56" s="280"/>
      <c r="K56" s="280"/>
      <c r="L56" s="280"/>
      <c r="M56" s="281"/>
    </row>
    <row r="57" spans="1:13" ht="31.5">
      <c r="A57" s="278" t="s">
        <v>615</v>
      </c>
      <c r="B57" s="275" t="s">
        <v>179</v>
      </c>
      <c r="C57" s="275"/>
      <c r="D57" s="285">
        <f>SUM(D58:D64)</f>
        <v>6.760456</v>
      </c>
      <c r="E57" s="290">
        <f>SUM(E58:E64)</f>
        <v>37.943076999999995</v>
      </c>
      <c r="F57" s="290">
        <v>37.943076999999995</v>
      </c>
      <c r="G57" s="290">
        <v>37.943076999999995</v>
      </c>
      <c r="H57" s="276" t="s">
        <v>598</v>
      </c>
      <c r="I57" s="276"/>
      <c r="J57" s="276"/>
      <c r="K57" s="276"/>
      <c r="L57" s="276"/>
      <c r="M57" s="277"/>
    </row>
    <row r="58" spans="1:13" ht="47.25">
      <c r="A58" s="19">
        <v>1</v>
      </c>
      <c r="B58" s="5" t="s">
        <v>595</v>
      </c>
      <c r="C58" s="27"/>
      <c r="D58" s="284">
        <f>0.4892*1.18</f>
        <v>0.577256</v>
      </c>
      <c r="E58" s="229">
        <v>0</v>
      </c>
      <c r="F58" s="229">
        <v>0</v>
      </c>
      <c r="G58" s="229">
        <v>0</v>
      </c>
      <c r="H58" s="6" t="s">
        <v>598</v>
      </c>
      <c r="I58" s="6"/>
      <c r="J58" s="6"/>
      <c r="K58" s="6"/>
      <c r="L58" s="6"/>
      <c r="M58" s="7"/>
    </row>
    <row r="59" spans="1:13" ht="31.5">
      <c r="A59" s="19">
        <v>2</v>
      </c>
      <c r="B59" s="5" t="s">
        <v>8</v>
      </c>
      <c r="C59" s="27"/>
      <c r="D59" s="284">
        <f>1.24*1.18</f>
        <v>1.4631999999999998</v>
      </c>
      <c r="E59" s="229">
        <v>0</v>
      </c>
      <c r="F59" s="229">
        <v>0</v>
      </c>
      <c r="G59" s="229">
        <v>0</v>
      </c>
      <c r="H59" s="6" t="s">
        <v>598</v>
      </c>
      <c r="I59" s="6"/>
      <c r="J59" s="6"/>
      <c r="K59" s="6"/>
      <c r="L59" s="6"/>
      <c r="M59" s="7"/>
    </row>
    <row r="60" spans="1:13" ht="47.25">
      <c r="A60" s="19">
        <v>3</v>
      </c>
      <c r="B60" s="5" t="s">
        <v>604</v>
      </c>
      <c r="C60" s="27"/>
      <c r="D60" s="284">
        <v>0</v>
      </c>
      <c r="E60" s="229">
        <f>0.22522*1.18</f>
        <v>0.2657596</v>
      </c>
      <c r="F60" s="229">
        <v>0.2657596</v>
      </c>
      <c r="G60" s="229">
        <v>0.2657596</v>
      </c>
      <c r="H60" s="6" t="s">
        <v>598</v>
      </c>
      <c r="I60" s="6"/>
      <c r="J60" s="6"/>
      <c r="K60" s="6"/>
      <c r="L60" s="6"/>
      <c r="M60" s="7"/>
    </row>
    <row r="61" spans="1:13" ht="63">
      <c r="A61" s="19">
        <v>4</v>
      </c>
      <c r="B61" s="5" t="s">
        <v>603</v>
      </c>
      <c r="C61" s="27"/>
      <c r="D61" s="284">
        <v>0</v>
      </c>
      <c r="E61" s="229">
        <f>9.43293*1.18</f>
        <v>11.1308574</v>
      </c>
      <c r="F61" s="229">
        <v>11.1308574</v>
      </c>
      <c r="G61" s="229">
        <v>11.1308574</v>
      </c>
      <c r="H61" s="6" t="s">
        <v>598</v>
      </c>
      <c r="I61" s="6"/>
      <c r="J61" s="6"/>
      <c r="K61" s="6"/>
      <c r="L61" s="6"/>
      <c r="M61" s="7"/>
    </row>
    <row r="62" spans="1:13" ht="31.5">
      <c r="A62" s="19">
        <v>5</v>
      </c>
      <c r="B62" s="5" t="s">
        <v>9</v>
      </c>
      <c r="C62" s="27"/>
      <c r="D62" s="284">
        <v>0</v>
      </c>
      <c r="E62" s="229">
        <f>3.48*1.18</f>
        <v>4.1064</v>
      </c>
      <c r="F62" s="229">
        <v>4.1064</v>
      </c>
      <c r="G62" s="229">
        <v>4.1064</v>
      </c>
      <c r="H62" s="6"/>
      <c r="I62" s="6"/>
      <c r="J62" s="6"/>
      <c r="K62" s="6"/>
      <c r="L62" s="6"/>
      <c r="M62" s="7"/>
    </row>
    <row r="63" spans="1:13" ht="47.25">
      <c r="A63" s="19">
        <v>6</v>
      </c>
      <c r="B63" s="5" t="s">
        <v>10</v>
      </c>
      <c r="C63" s="27"/>
      <c r="D63" s="284">
        <v>0</v>
      </c>
      <c r="E63" s="229">
        <f>13.1*1.18</f>
        <v>15.457999999999998</v>
      </c>
      <c r="F63" s="229">
        <v>15.457999999999998</v>
      </c>
      <c r="G63" s="229">
        <v>15.457999999999998</v>
      </c>
      <c r="H63" s="6"/>
      <c r="I63" s="6"/>
      <c r="J63" s="6"/>
      <c r="K63" s="6"/>
      <c r="L63" s="6"/>
      <c r="M63" s="7"/>
    </row>
    <row r="64" spans="1:13" ht="31.5">
      <c r="A64" s="19">
        <v>7</v>
      </c>
      <c r="B64" s="5" t="s">
        <v>596</v>
      </c>
      <c r="C64" s="27"/>
      <c r="D64" s="284">
        <f>4*1.18</f>
        <v>4.72</v>
      </c>
      <c r="E64" s="229">
        <f>5.917*1.18</f>
        <v>6.98206</v>
      </c>
      <c r="F64" s="229">
        <v>6.98206</v>
      </c>
      <c r="G64" s="229">
        <v>6.98206</v>
      </c>
      <c r="H64" s="6"/>
      <c r="I64" s="6"/>
      <c r="J64" s="6"/>
      <c r="K64" s="6"/>
      <c r="L64" s="6"/>
      <c r="M64" s="7"/>
    </row>
    <row r="65" spans="1:13" ht="48" customHeight="1">
      <c r="A65" s="214">
        <v>3</v>
      </c>
      <c r="B65" s="282" t="s">
        <v>15</v>
      </c>
      <c r="C65" s="214"/>
      <c r="D65" s="286">
        <f>0.12*1.18</f>
        <v>0.14159999999999998</v>
      </c>
      <c r="E65" s="289">
        <f>1.02479*1.18</f>
        <v>1.2092522</v>
      </c>
      <c r="F65" s="289">
        <v>1.2092522</v>
      </c>
      <c r="G65" s="289">
        <v>1.2092522</v>
      </c>
      <c r="H65" s="280" t="s">
        <v>598</v>
      </c>
      <c r="I65" s="280"/>
      <c r="J65" s="280"/>
      <c r="K65" s="280"/>
      <c r="L65" s="280"/>
      <c r="M65" s="280"/>
    </row>
    <row r="66" spans="1:13" ht="48" customHeight="1">
      <c r="A66" s="214">
        <v>4</v>
      </c>
      <c r="B66" s="282" t="s">
        <v>16</v>
      </c>
      <c r="C66" s="214"/>
      <c r="D66" s="286">
        <f>0.17873*1.18</f>
        <v>0.2109014</v>
      </c>
      <c r="E66" s="289">
        <v>0</v>
      </c>
      <c r="F66" s="289">
        <v>0</v>
      </c>
      <c r="G66" s="289">
        <v>0</v>
      </c>
      <c r="H66" s="280" t="s">
        <v>598</v>
      </c>
      <c r="I66" s="280"/>
      <c r="J66" s="280"/>
      <c r="K66" s="280"/>
      <c r="L66" s="280"/>
      <c r="M66" s="280"/>
    </row>
    <row r="67" spans="1:13" ht="15.75">
      <c r="A67" s="214">
        <v>5</v>
      </c>
      <c r="B67" s="282" t="s">
        <v>605</v>
      </c>
      <c r="C67" s="214"/>
      <c r="D67" s="286">
        <f>0.075*1.18</f>
        <v>0.0885</v>
      </c>
      <c r="E67" s="289">
        <f>0.20073*1.18</f>
        <v>0.23686139999999997</v>
      </c>
      <c r="F67" s="289">
        <v>0.23686139999999997</v>
      </c>
      <c r="G67" s="289">
        <v>0.23686139999999997</v>
      </c>
      <c r="H67" s="280" t="s">
        <v>598</v>
      </c>
      <c r="I67" s="280"/>
      <c r="J67" s="280"/>
      <c r="K67" s="280"/>
      <c r="L67" s="280"/>
      <c r="M67" s="280"/>
    </row>
    <row r="68" spans="1:13" ht="31.5">
      <c r="A68" s="214">
        <v>6</v>
      </c>
      <c r="B68" s="282" t="s">
        <v>11</v>
      </c>
      <c r="C68" s="214"/>
      <c r="D68" s="286">
        <v>0</v>
      </c>
      <c r="E68" s="289">
        <f>2.03*1.18</f>
        <v>2.3953999999999995</v>
      </c>
      <c r="F68" s="289">
        <v>2.3953999999999995</v>
      </c>
      <c r="G68" s="289">
        <v>2.3953999999999995</v>
      </c>
      <c r="H68" s="280" t="s">
        <v>598</v>
      </c>
      <c r="I68" s="280"/>
      <c r="J68" s="280"/>
      <c r="K68" s="280"/>
      <c r="L68" s="280"/>
      <c r="M68" s="280"/>
    </row>
    <row r="69" spans="1:13" ht="31.5">
      <c r="A69" s="214">
        <v>7</v>
      </c>
      <c r="B69" s="282" t="s">
        <v>12</v>
      </c>
      <c r="C69" s="214"/>
      <c r="D69" s="286">
        <v>0</v>
      </c>
      <c r="E69" s="289">
        <f>3.602*1.18</f>
        <v>4.25036</v>
      </c>
      <c r="F69" s="289">
        <v>4.25036</v>
      </c>
      <c r="G69" s="289">
        <v>4.25036</v>
      </c>
      <c r="H69" s="280" t="s">
        <v>598</v>
      </c>
      <c r="I69" s="280"/>
      <c r="J69" s="280"/>
      <c r="K69" s="280"/>
      <c r="L69" s="280"/>
      <c r="M69" s="280"/>
    </row>
    <row r="70" spans="1:13" ht="31.5">
      <c r="A70" s="214">
        <v>8</v>
      </c>
      <c r="B70" s="282" t="s">
        <v>13</v>
      </c>
      <c r="C70" s="214"/>
      <c r="D70" s="286">
        <v>0</v>
      </c>
      <c r="E70" s="289">
        <f>1.29418*1.18</f>
        <v>1.5271324</v>
      </c>
      <c r="F70" s="289">
        <v>1.5271324</v>
      </c>
      <c r="G70" s="289">
        <v>1.5271324</v>
      </c>
      <c r="H70" s="280"/>
      <c r="I70" s="280"/>
      <c r="J70" s="280"/>
      <c r="K70" s="280"/>
      <c r="L70" s="280"/>
      <c r="M70" s="280"/>
    </row>
    <row r="71" spans="1:13" ht="31.5">
      <c r="A71" s="214">
        <v>9</v>
      </c>
      <c r="B71" s="282" t="s">
        <v>14</v>
      </c>
      <c r="C71" s="214"/>
      <c r="D71" s="286">
        <f>4.58075*1.18</f>
        <v>5.405285</v>
      </c>
      <c r="E71" s="289">
        <v>0</v>
      </c>
      <c r="F71" s="289">
        <v>0</v>
      </c>
      <c r="G71" s="288">
        <v>0</v>
      </c>
      <c r="H71" s="280"/>
      <c r="I71" s="280"/>
      <c r="J71" s="280"/>
      <c r="K71" s="280"/>
      <c r="L71" s="280"/>
      <c r="M71" s="280"/>
    </row>
    <row r="72" spans="1:13" ht="31.5">
      <c r="A72" s="214">
        <v>10</v>
      </c>
      <c r="B72" s="282" t="s">
        <v>565</v>
      </c>
      <c r="C72" s="283"/>
      <c r="D72" s="286">
        <f>SUM(D73:D75)</f>
        <v>5.8551246</v>
      </c>
      <c r="E72" s="289">
        <f>SUM(E73:E75)</f>
        <v>4.9954828</v>
      </c>
      <c r="F72" s="289">
        <v>4.9954828</v>
      </c>
      <c r="G72" s="289">
        <v>4.9954828</v>
      </c>
      <c r="H72" s="280" t="s">
        <v>598</v>
      </c>
      <c r="I72" s="280"/>
      <c r="J72" s="280"/>
      <c r="K72" s="280"/>
      <c r="L72" s="280"/>
      <c r="M72" s="280"/>
    </row>
    <row r="73" spans="1:13" ht="15.75">
      <c r="A73" s="6"/>
      <c r="B73" s="213" t="s">
        <v>606</v>
      </c>
      <c r="C73" s="5"/>
      <c r="D73" s="284">
        <f>0.54127*1.18</f>
        <v>0.6386986</v>
      </c>
      <c r="E73" s="229">
        <f>1.5928*1.18</f>
        <v>1.8795039999999998</v>
      </c>
      <c r="F73" s="229">
        <v>1.8795039999999998</v>
      </c>
      <c r="G73" s="229">
        <v>1.8795039999999998</v>
      </c>
      <c r="H73" s="6" t="s">
        <v>598</v>
      </c>
      <c r="I73" s="6"/>
      <c r="J73" s="6"/>
      <c r="K73" s="6"/>
      <c r="L73" s="6"/>
      <c r="M73" s="6"/>
    </row>
    <row r="74" spans="1:13" ht="15.75">
      <c r="A74" s="6"/>
      <c r="B74" s="213" t="s">
        <v>607</v>
      </c>
      <c r="C74" s="6"/>
      <c r="D74" s="284">
        <f>2.56607*1.18</f>
        <v>3.0279625999999995</v>
      </c>
      <c r="E74" s="229">
        <f>1.98428*1.18</f>
        <v>2.3414504</v>
      </c>
      <c r="F74" s="229">
        <v>2.3414504</v>
      </c>
      <c r="G74" s="229">
        <v>2.3414504</v>
      </c>
      <c r="H74" s="6" t="s">
        <v>598</v>
      </c>
      <c r="I74" s="6"/>
      <c r="J74" s="6"/>
      <c r="K74" s="6"/>
      <c r="L74" s="6"/>
      <c r="M74" s="6"/>
    </row>
    <row r="75" spans="1:13" ht="15.75">
      <c r="A75" s="6"/>
      <c r="B75" s="213" t="s">
        <v>608</v>
      </c>
      <c r="C75" s="15"/>
      <c r="D75" s="287">
        <f>1.85463*1.18</f>
        <v>2.1884634</v>
      </c>
      <c r="E75" s="291">
        <f>0.65638*1.18</f>
        <v>0.7745283999999999</v>
      </c>
      <c r="F75" s="291">
        <v>0.7745283999999999</v>
      </c>
      <c r="G75" s="291">
        <v>0.7745283999999999</v>
      </c>
      <c r="H75" s="15" t="s">
        <v>598</v>
      </c>
      <c r="I75" s="15"/>
      <c r="J75" s="15"/>
      <c r="K75" s="15"/>
      <c r="L75" s="15"/>
      <c r="M75" s="15"/>
    </row>
    <row r="76" spans="1:13" ht="15.75">
      <c r="A76" s="71"/>
      <c r="B76" s="27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.75">
      <c r="A77" s="71"/>
      <c r="B77" s="72" t="s">
        <v>297</v>
      </c>
      <c r="C77" s="37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5.75" customHeight="1">
      <c r="A78" s="71"/>
      <c r="B78" s="986" t="s">
        <v>298</v>
      </c>
      <c r="C78" s="986"/>
      <c r="D78" s="986"/>
      <c r="E78" s="986"/>
      <c r="F78" s="71"/>
      <c r="G78" s="71"/>
      <c r="H78" s="71"/>
      <c r="I78" s="71"/>
      <c r="J78" s="71"/>
      <c r="K78" s="71"/>
      <c r="L78" s="71"/>
      <c r="M78" s="71"/>
    </row>
    <row r="79" spans="1:13" ht="15.75">
      <c r="A79" s="28"/>
      <c r="B79" s="1" t="s">
        <v>299</v>
      </c>
      <c r="F79" s="28"/>
      <c r="G79" s="28"/>
      <c r="H79" s="28"/>
      <c r="I79" s="28"/>
      <c r="J79" s="28"/>
      <c r="K79" s="28"/>
      <c r="L79" s="28"/>
      <c r="M79" s="28"/>
    </row>
    <row r="80" spans="1:13" ht="15.75">
      <c r="A80" s="28"/>
      <c r="F80" s="28"/>
      <c r="G80" s="28"/>
      <c r="H80" s="28"/>
      <c r="I80" s="28"/>
      <c r="J80" s="28"/>
      <c r="K80" s="28"/>
      <c r="L80" s="28"/>
      <c r="M80" s="28"/>
    </row>
    <row r="81" spans="1:13" ht="15.75" customHeight="1">
      <c r="A81" s="28"/>
      <c r="B81" s="901" t="s">
        <v>300</v>
      </c>
      <c r="C81" s="901"/>
      <c r="D81" s="901"/>
      <c r="E81" s="901"/>
      <c r="F81" s="28"/>
      <c r="G81" s="28"/>
      <c r="H81" s="28"/>
      <c r="I81" s="28"/>
      <c r="J81" s="28"/>
      <c r="K81" s="28"/>
      <c r="L81" s="28"/>
      <c r="M81" s="28"/>
    </row>
    <row r="82" spans="1:13" ht="15.75" customHeight="1">
      <c r="A82" s="28"/>
      <c r="B82" s="135"/>
      <c r="C82" s="135"/>
      <c r="D82" s="135"/>
      <c r="E82" s="135"/>
      <c r="F82" s="28"/>
      <c r="G82" s="28"/>
      <c r="H82" s="28"/>
      <c r="I82" s="28"/>
      <c r="J82" s="28"/>
      <c r="K82" s="28"/>
      <c r="L82" s="28"/>
      <c r="M82" s="28"/>
    </row>
    <row r="83" spans="1:13" ht="15.75" customHeight="1">
      <c r="A83" s="28"/>
      <c r="B83" s="899"/>
      <c r="C83" s="899"/>
      <c r="D83" s="899"/>
      <c r="E83" s="899"/>
      <c r="F83" s="899"/>
      <c r="G83" s="899"/>
      <c r="H83" s="28"/>
      <c r="I83" s="28"/>
      <c r="J83" s="28"/>
      <c r="K83" s="28"/>
      <c r="L83" s="28"/>
      <c r="M83" s="28"/>
    </row>
    <row r="84" spans="1:13" ht="15.75" customHeight="1">
      <c r="A84" s="28"/>
      <c r="B84" s="568"/>
      <c r="C84" s="568"/>
      <c r="D84" s="568"/>
      <c r="E84" s="568"/>
      <c r="F84" s="586"/>
      <c r="G84" s="568"/>
      <c r="H84" s="28"/>
      <c r="I84" s="28"/>
      <c r="J84" s="28"/>
      <c r="K84" s="28"/>
      <c r="L84" s="28"/>
      <c r="M84" s="28"/>
    </row>
    <row r="85" spans="1:13" ht="15.75" customHeight="1">
      <c r="A85" s="28"/>
      <c r="B85" s="568"/>
      <c r="C85" s="568"/>
      <c r="D85" s="568"/>
      <c r="E85" s="568"/>
      <c r="F85" s="586"/>
      <c r="G85" s="568"/>
      <c r="H85" s="28"/>
      <c r="I85" s="28"/>
      <c r="J85" s="28"/>
      <c r="K85" s="28"/>
      <c r="L85" s="28"/>
      <c r="M85" s="28"/>
    </row>
    <row r="86" spans="1:13" ht="15.75" customHeight="1">
      <c r="A86" s="28"/>
      <c r="B86" s="568"/>
      <c r="C86" s="568"/>
      <c r="D86" s="568"/>
      <c r="E86" s="568"/>
      <c r="F86" s="586"/>
      <c r="G86" s="568"/>
      <c r="H86" s="28"/>
      <c r="I86" s="28"/>
      <c r="J86" s="28"/>
      <c r="K86" s="28"/>
      <c r="L86" s="28"/>
      <c r="M86" s="28"/>
    </row>
    <row r="87" spans="1:13" ht="15.75" customHeight="1">
      <c r="A87" s="28"/>
      <c r="B87" s="899"/>
      <c r="C87" s="899"/>
      <c r="D87" s="899"/>
      <c r="E87" s="899"/>
      <c r="F87" s="586"/>
      <c r="G87" s="566"/>
      <c r="H87" s="28"/>
      <c r="I87" s="28"/>
      <c r="J87" s="28"/>
      <c r="K87" s="28"/>
      <c r="L87" s="28"/>
      <c r="M87" s="28"/>
    </row>
    <row r="88" spans="1:13" ht="15.75" customHeight="1">
      <c r="A88" s="28"/>
      <c r="B88" s="572"/>
      <c r="C88" s="572"/>
      <c r="D88" s="572"/>
      <c r="E88" s="572"/>
      <c r="F88" s="572"/>
      <c r="G88" s="572"/>
      <c r="H88" s="28"/>
      <c r="I88" s="28"/>
      <c r="J88" s="28"/>
      <c r="K88" s="28"/>
      <c r="L88" s="28"/>
      <c r="M88" s="28"/>
    </row>
    <row r="89" spans="1:13" ht="15.75">
      <c r="A89" s="28"/>
      <c r="B89" s="899"/>
      <c r="C89" s="899"/>
      <c r="D89" s="899"/>
      <c r="E89" s="899"/>
      <c r="F89" s="586"/>
      <c r="G89" s="566"/>
      <c r="H89" s="28"/>
      <c r="I89" s="28"/>
      <c r="J89" s="28"/>
      <c r="K89" s="28"/>
      <c r="L89" s="28"/>
      <c r="M89" s="28"/>
    </row>
    <row r="90" spans="1:13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ht="15.75">
      <c r="A91" s="14"/>
    </row>
    <row r="92" spans="1:3" ht="15.75">
      <c r="A92" s="21"/>
      <c r="C92" s="22"/>
    </row>
    <row r="93" spans="4:13" ht="15.75">
      <c r="D93" s="25"/>
      <c r="F93" s="164"/>
      <c r="G93" s="164"/>
      <c r="H93" s="31"/>
      <c r="I93" s="31"/>
      <c r="J93" s="31"/>
      <c r="K93" s="31"/>
      <c r="L93" s="31"/>
      <c r="M93" s="31"/>
    </row>
    <row r="94" spans="1:4" ht="15.75">
      <c r="A94" s="18"/>
      <c r="D94" s="16"/>
    </row>
  </sheetData>
  <sheetProtection/>
  <mergeCells count="23">
    <mergeCell ref="B9:C9"/>
    <mergeCell ref="K16:L16"/>
    <mergeCell ref="A6:M6"/>
    <mergeCell ref="B81:E81"/>
    <mergeCell ref="B78:E78"/>
    <mergeCell ref="D15:E16"/>
    <mergeCell ref="M15:M17"/>
    <mergeCell ref="I15:L15"/>
    <mergeCell ref="A15:A17"/>
    <mergeCell ref="H15:H17"/>
    <mergeCell ref="J16:J17"/>
    <mergeCell ref="B15:B17"/>
    <mergeCell ref="I16:I17"/>
    <mergeCell ref="C15:C17"/>
    <mergeCell ref="F15:F17"/>
    <mergeCell ref="G15:G17"/>
    <mergeCell ref="B89:C89"/>
    <mergeCell ref="D89:E89"/>
    <mergeCell ref="F83:G83"/>
    <mergeCell ref="B83:C83"/>
    <mergeCell ref="D83:E83"/>
    <mergeCell ref="B87:C87"/>
    <mergeCell ref="D87:E87"/>
  </mergeCells>
  <printOptions/>
  <pageMargins left="0" right="0" top="0.2362204724409449" bottom="0.2755905511811024" header="0" footer="0"/>
  <pageSetup fitToHeight="3" fitToWidth="1" horizontalDpi="600" verticalDpi="600" orientation="portrait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G80"/>
  <sheetViews>
    <sheetView view="pageBreakPreview" zoomScale="115" zoomScaleSheetLayoutView="115" zoomScalePageLayoutView="0" workbookViewId="0" topLeftCell="A4">
      <selection activeCell="B12" sqref="B12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12.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4" t="s">
        <v>499</v>
      </c>
    </row>
    <row r="3" ht="15.75">
      <c r="E3" s="4" t="s">
        <v>292</v>
      </c>
    </row>
    <row r="4" ht="15.75">
      <c r="E4" s="4" t="s">
        <v>71</v>
      </c>
    </row>
    <row r="5" ht="15.75">
      <c r="E5" s="4"/>
    </row>
    <row r="6" spans="1:7" ht="60.75" customHeight="1">
      <c r="A6" s="976" t="s">
        <v>17</v>
      </c>
      <c r="B6" s="903"/>
      <c r="C6" s="903"/>
      <c r="D6" s="903"/>
      <c r="E6" s="903"/>
      <c r="F6" s="996"/>
      <c r="G6" s="996"/>
    </row>
    <row r="7" spans="1:7" ht="15.75">
      <c r="A7" s="195"/>
      <c r="B7" s="195"/>
      <c r="C7" s="195"/>
      <c r="D7" s="195"/>
      <c r="E7" s="195"/>
      <c r="F7" s="20"/>
      <c r="G7" s="20"/>
    </row>
    <row r="8" spans="1:5" ht="15.75">
      <c r="A8" s="511" t="s">
        <v>154</v>
      </c>
      <c r="B8" s="512"/>
      <c r="E8" s="70" t="s">
        <v>293</v>
      </c>
    </row>
    <row r="9" spans="1:5" ht="15.75">
      <c r="A9" s="929" t="s">
        <v>155</v>
      </c>
      <c r="B9" s="929"/>
      <c r="E9" s="70" t="s">
        <v>568</v>
      </c>
    </row>
    <row r="10" spans="1:5" ht="15.75">
      <c r="A10" s="511" t="s">
        <v>156</v>
      </c>
      <c r="B10" s="512"/>
      <c r="E10" s="70" t="s">
        <v>569</v>
      </c>
    </row>
    <row r="11" spans="1:5" ht="15.75">
      <c r="A11" s="511" t="s">
        <v>44</v>
      </c>
      <c r="B11" s="512"/>
      <c r="E11" s="294" t="s">
        <v>159</v>
      </c>
    </row>
    <row r="12" spans="1:5" ht="18" customHeight="1">
      <c r="A12" s="511" t="s">
        <v>45</v>
      </c>
      <c r="B12" s="512"/>
      <c r="E12" s="564" t="s">
        <v>72</v>
      </c>
    </row>
    <row r="13" spans="1:5" ht="19.5" customHeight="1">
      <c r="A13" s="511" t="s">
        <v>46</v>
      </c>
      <c r="B13" s="592"/>
      <c r="E13" s="4" t="s">
        <v>294</v>
      </c>
    </row>
    <row r="14" spans="2:5" ht="15.75">
      <c r="B14" s="513"/>
      <c r="E14" s="4"/>
    </row>
    <row r="15" spans="1:7" ht="16.5" thickBot="1">
      <c r="A15" s="16"/>
      <c r="E15" s="4"/>
      <c r="F15" s="20"/>
      <c r="G15" s="20"/>
    </row>
    <row r="16" spans="1:5" ht="32.25" customHeight="1">
      <c r="A16" s="997" t="s">
        <v>624</v>
      </c>
      <c r="B16" s="998" t="s">
        <v>625</v>
      </c>
      <c r="C16" s="1000" t="s">
        <v>20</v>
      </c>
      <c r="D16" s="1001"/>
      <c r="E16" s="999" t="s">
        <v>626</v>
      </c>
    </row>
    <row r="17" spans="1:5" ht="15.75">
      <c r="A17" s="939"/>
      <c r="B17" s="926"/>
      <c r="C17" s="1002"/>
      <c r="D17" s="1003"/>
      <c r="E17" s="927"/>
    </row>
    <row r="18" spans="1:5" ht="16.5" thickBot="1">
      <c r="A18" s="938"/>
      <c r="B18" s="935"/>
      <c r="C18" s="79" t="s">
        <v>135</v>
      </c>
      <c r="D18" s="79" t="s">
        <v>184</v>
      </c>
      <c r="E18" s="936"/>
    </row>
    <row r="19" spans="1:7" ht="15.75">
      <c r="A19" s="69">
        <v>1</v>
      </c>
      <c r="B19" s="166" t="s">
        <v>635</v>
      </c>
      <c r="C19" s="297">
        <f>C20+C27</f>
        <v>127.9398126</v>
      </c>
      <c r="D19" s="297">
        <f>D20+D27</f>
        <v>165.8795738</v>
      </c>
      <c r="E19" s="271"/>
      <c r="F19" s="8"/>
      <c r="G19" s="8"/>
    </row>
    <row r="20" spans="1:5" ht="31.5">
      <c r="A20" s="154" t="s">
        <v>612</v>
      </c>
      <c r="B20" s="5" t="s">
        <v>636</v>
      </c>
      <c r="C20" s="229">
        <f>SUM(C21:C23)</f>
        <v>51.33</v>
      </c>
      <c r="D20" s="229">
        <f>SUM(D21:D23)</f>
        <v>90.72365099999999</v>
      </c>
      <c r="E20" s="298"/>
    </row>
    <row r="21" spans="1:5" ht="31.5">
      <c r="A21" s="154" t="s">
        <v>637</v>
      </c>
      <c r="B21" s="5" t="s">
        <v>657</v>
      </c>
      <c r="C21" s="229">
        <f>43500/1000*1.18</f>
        <v>51.33</v>
      </c>
      <c r="D21" s="299">
        <f>76884.45/1000*1.18</f>
        <v>90.72365099999999</v>
      </c>
      <c r="E21" s="11"/>
    </row>
    <row r="22" spans="1:5" ht="15.75">
      <c r="A22" s="154" t="s">
        <v>650</v>
      </c>
      <c r="B22" s="5" t="s">
        <v>658</v>
      </c>
      <c r="C22" s="229" t="s">
        <v>598</v>
      </c>
      <c r="D22" s="229" t="s">
        <v>598</v>
      </c>
      <c r="E22" s="11"/>
    </row>
    <row r="23" spans="1:5" ht="47.25">
      <c r="A23" s="154" t="s">
        <v>654</v>
      </c>
      <c r="B23" s="5" t="s">
        <v>127</v>
      </c>
      <c r="C23" s="229" t="s">
        <v>598</v>
      </c>
      <c r="D23" s="229" t="s">
        <v>598</v>
      </c>
      <c r="E23" s="11"/>
    </row>
    <row r="24" spans="1:5" ht="31.5">
      <c r="A24" s="154" t="s">
        <v>655</v>
      </c>
      <c r="B24" s="5" t="s">
        <v>128</v>
      </c>
      <c r="C24" s="229" t="s">
        <v>598</v>
      </c>
      <c r="D24" s="229" t="s">
        <v>598</v>
      </c>
      <c r="E24" s="11"/>
    </row>
    <row r="25" spans="1:5" ht="31.5">
      <c r="A25" s="154" t="s">
        <v>656</v>
      </c>
      <c r="B25" s="5" t="s">
        <v>129</v>
      </c>
      <c r="C25" s="229" t="s">
        <v>598</v>
      </c>
      <c r="D25" s="229" t="s">
        <v>598</v>
      </c>
      <c r="E25" s="11"/>
    </row>
    <row r="26" spans="1:5" ht="15.75">
      <c r="A26" s="154" t="s">
        <v>326</v>
      </c>
      <c r="B26" s="5" t="s">
        <v>311</v>
      </c>
      <c r="C26" s="229" t="s">
        <v>598</v>
      </c>
      <c r="D26" s="229" t="s">
        <v>598</v>
      </c>
      <c r="E26" s="11"/>
    </row>
    <row r="27" spans="1:5" ht="15.75">
      <c r="A27" s="295" t="s">
        <v>613</v>
      </c>
      <c r="B27" s="156" t="s">
        <v>638</v>
      </c>
      <c r="C27" s="227">
        <f>SUM(C28:C30)</f>
        <v>76.6098126</v>
      </c>
      <c r="D27" s="227">
        <f>SUM(D28:D30)</f>
        <v>75.1559228</v>
      </c>
      <c r="E27" s="296"/>
    </row>
    <row r="28" spans="1:5" ht="15.75">
      <c r="A28" s="154" t="s">
        <v>312</v>
      </c>
      <c r="B28" s="5" t="s">
        <v>315</v>
      </c>
      <c r="C28" s="229">
        <f>64923.57/1000*1.18</f>
        <v>76.6098126</v>
      </c>
      <c r="D28" s="299">
        <f>63691.46/1000*1.18</f>
        <v>75.1559228</v>
      </c>
      <c r="E28" s="11"/>
    </row>
    <row r="29" spans="1:5" ht="15.75">
      <c r="A29" s="154" t="s">
        <v>313</v>
      </c>
      <c r="B29" s="5" t="s">
        <v>316</v>
      </c>
      <c r="C29" s="229" t="s">
        <v>598</v>
      </c>
      <c r="D29" s="229" t="s">
        <v>598</v>
      </c>
      <c r="E29" s="11"/>
    </row>
    <row r="30" spans="1:5" ht="31.5">
      <c r="A30" s="154" t="s">
        <v>314</v>
      </c>
      <c r="B30" s="5" t="s">
        <v>317</v>
      </c>
      <c r="C30" s="229" t="s">
        <v>598</v>
      </c>
      <c r="D30" s="229" t="s">
        <v>598</v>
      </c>
      <c r="E30" s="11"/>
    </row>
    <row r="31" spans="1:5" ht="15.75">
      <c r="A31" s="154" t="s">
        <v>623</v>
      </c>
      <c r="B31" s="5" t="s">
        <v>639</v>
      </c>
      <c r="C31" s="229">
        <f>C19/1.18*0.18</f>
        <v>19.516242599999998</v>
      </c>
      <c r="D31" s="229">
        <f>D19/1.18*0.18</f>
        <v>25.303663800000002</v>
      </c>
      <c r="E31" s="11"/>
    </row>
    <row r="32" spans="1:5" ht="15.75">
      <c r="A32" s="154" t="s">
        <v>640</v>
      </c>
      <c r="B32" s="5" t="s">
        <v>641</v>
      </c>
      <c r="C32" s="229" t="s">
        <v>598</v>
      </c>
      <c r="D32" s="229" t="s">
        <v>598</v>
      </c>
      <c r="E32" s="11"/>
    </row>
    <row r="33" spans="1:5" ht="15.75">
      <c r="A33" s="154" t="s">
        <v>642</v>
      </c>
      <c r="B33" s="5" t="s">
        <v>130</v>
      </c>
      <c r="C33" s="229" t="s">
        <v>598</v>
      </c>
      <c r="D33" s="229" t="s">
        <v>598</v>
      </c>
      <c r="E33" s="11"/>
    </row>
    <row r="34" spans="1:5" ht="32.25" thickBot="1">
      <c r="A34" s="159" t="s">
        <v>210</v>
      </c>
      <c r="B34" s="160" t="s">
        <v>322</v>
      </c>
      <c r="C34" s="301" t="s">
        <v>598</v>
      </c>
      <c r="D34" s="301" t="s">
        <v>598</v>
      </c>
      <c r="E34" s="34"/>
    </row>
    <row r="35" spans="1:5" ht="15.75">
      <c r="A35" s="169" t="s">
        <v>614</v>
      </c>
      <c r="B35" s="170" t="s">
        <v>131</v>
      </c>
      <c r="C35" s="300" t="s">
        <v>598</v>
      </c>
      <c r="D35" s="300" t="s">
        <v>598</v>
      </c>
      <c r="E35" s="171"/>
    </row>
    <row r="36" spans="1:5" ht="15.75">
      <c r="A36" s="154" t="s">
        <v>615</v>
      </c>
      <c r="B36" s="5" t="s">
        <v>136</v>
      </c>
      <c r="C36" s="229" t="s">
        <v>598</v>
      </c>
      <c r="D36" s="229" t="s">
        <v>598</v>
      </c>
      <c r="E36" s="11"/>
    </row>
    <row r="37" spans="1:5" ht="15.75">
      <c r="A37" s="154" t="s">
        <v>616</v>
      </c>
      <c r="B37" s="5" t="s">
        <v>132</v>
      </c>
      <c r="C37" s="229" t="s">
        <v>598</v>
      </c>
      <c r="D37" s="229" t="s">
        <v>598</v>
      </c>
      <c r="E37" s="11"/>
    </row>
    <row r="38" spans="1:5" ht="21.75" customHeight="1">
      <c r="A38" s="158" t="s">
        <v>617</v>
      </c>
      <c r="B38" s="5" t="s">
        <v>133</v>
      </c>
      <c r="C38" s="229" t="s">
        <v>598</v>
      </c>
      <c r="D38" s="229" t="s">
        <v>598</v>
      </c>
      <c r="E38" s="149"/>
    </row>
    <row r="39" spans="1:5" ht="15.75">
      <c r="A39" s="158" t="s">
        <v>618</v>
      </c>
      <c r="B39" s="5" t="s">
        <v>643</v>
      </c>
      <c r="C39" s="229" t="s">
        <v>598</v>
      </c>
      <c r="D39" s="229" t="s">
        <v>598</v>
      </c>
      <c r="E39" s="149"/>
    </row>
    <row r="40" spans="1:5" ht="15.75">
      <c r="A40" s="154" t="s">
        <v>660</v>
      </c>
      <c r="B40" s="5" t="s">
        <v>653</v>
      </c>
      <c r="C40" s="229" t="s">
        <v>598</v>
      </c>
      <c r="D40" s="229" t="s">
        <v>598</v>
      </c>
      <c r="E40" s="149"/>
    </row>
    <row r="41" spans="1:5" ht="15.75">
      <c r="A41" s="154" t="s">
        <v>122</v>
      </c>
      <c r="B41" s="5" t="s">
        <v>319</v>
      </c>
      <c r="C41" s="229" t="s">
        <v>598</v>
      </c>
      <c r="D41" s="229" t="s">
        <v>598</v>
      </c>
      <c r="E41" s="149"/>
    </row>
    <row r="42" spans="1:5" ht="16.5" thickBot="1">
      <c r="A42" s="159" t="s">
        <v>318</v>
      </c>
      <c r="B42" s="160" t="s">
        <v>644</v>
      </c>
      <c r="C42" s="301" t="s">
        <v>598</v>
      </c>
      <c r="D42" s="301" t="s">
        <v>598</v>
      </c>
      <c r="E42" s="150"/>
    </row>
    <row r="43" spans="1:5" ht="31.5">
      <c r="A43" s="165"/>
      <c r="B43" s="166" t="s">
        <v>634</v>
      </c>
      <c r="C43" s="167"/>
      <c r="D43" s="167"/>
      <c r="E43" s="168"/>
    </row>
    <row r="44" spans="1:5" ht="15.75">
      <c r="A44" s="9"/>
      <c r="B44" s="5" t="s">
        <v>304</v>
      </c>
      <c r="C44" s="10"/>
      <c r="D44" s="10"/>
      <c r="E44" s="149"/>
    </row>
    <row r="45" spans="1:5" ht="15.75">
      <c r="A45" s="9"/>
      <c r="B45" s="146" t="s">
        <v>305</v>
      </c>
      <c r="C45" s="10"/>
      <c r="D45" s="10"/>
      <c r="E45" s="149"/>
    </row>
    <row r="46" spans="1:5" ht="16.5" thickBot="1">
      <c r="A46" s="91"/>
      <c r="B46" s="147" t="s">
        <v>306</v>
      </c>
      <c r="C46" s="33"/>
      <c r="D46" s="33"/>
      <c r="E46" s="150"/>
    </row>
    <row r="47" spans="1:5" ht="15.75">
      <c r="A47" s="14"/>
      <c r="B47" s="157"/>
      <c r="C47" s="35"/>
      <c r="D47" s="35"/>
      <c r="E47" s="13"/>
    </row>
    <row r="48" spans="1:4" ht="15.75">
      <c r="A48" s="14" t="s">
        <v>134</v>
      </c>
      <c r="C48" s="28"/>
      <c r="D48" s="28"/>
    </row>
    <row r="49" spans="1:4" ht="15.75">
      <c r="A49" s="14" t="s">
        <v>185</v>
      </c>
      <c r="C49" s="28"/>
      <c r="D49" s="28"/>
    </row>
    <row r="50" spans="1:4" ht="15.75">
      <c r="A50" s="14"/>
      <c r="C50" s="28"/>
      <c r="D50" s="28"/>
    </row>
    <row r="51" spans="1:6" ht="15.75">
      <c r="A51" s="899"/>
      <c r="B51" s="899"/>
      <c r="C51" s="899"/>
      <c r="D51" s="899"/>
      <c r="E51" s="899"/>
      <c r="F51" s="899"/>
    </row>
    <row r="52" spans="1:6" ht="15.75">
      <c r="A52" s="568"/>
      <c r="B52" s="568"/>
      <c r="C52" s="568"/>
      <c r="D52" s="568"/>
      <c r="E52" s="586"/>
      <c r="F52" s="568"/>
    </row>
    <row r="53" spans="1:6" ht="15.75">
      <c r="A53" s="568"/>
      <c r="B53" s="568"/>
      <c r="C53" s="568"/>
      <c r="D53" s="568"/>
      <c r="E53" s="586"/>
      <c r="F53" s="568"/>
    </row>
    <row r="54" spans="1:6" ht="15.75">
      <c r="A54" s="568"/>
      <c r="B54" s="568"/>
      <c r="C54" s="568"/>
      <c r="D54" s="568"/>
      <c r="E54" s="586"/>
      <c r="F54" s="568"/>
    </row>
    <row r="55" spans="1:6" ht="15.75">
      <c r="A55" s="899"/>
      <c r="B55" s="899"/>
      <c r="C55" s="899"/>
      <c r="D55" s="899"/>
      <c r="E55" s="586"/>
      <c r="F55" s="566"/>
    </row>
    <row r="56" spans="1:6" ht="15.75">
      <c r="A56" s="572"/>
      <c r="B56" s="572"/>
      <c r="C56" s="572"/>
      <c r="D56" s="572"/>
      <c r="E56" s="572"/>
      <c r="F56" s="572"/>
    </row>
    <row r="57" spans="1:7" ht="15.75">
      <c r="A57" s="899"/>
      <c r="B57" s="899"/>
      <c r="C57" s="899"/>
      <c r="D57" s="899"/>
      <c r="E57" s="586"/>
      <c r="F57" s="566"/>
      <c r="G57" s="13"/>
    </row>
    <row r="58" spans="3:4" ht="15.75">
      <c r="C58" s="28"/>
      <c r="D58" s="28"/>
    </row>
    <row r="59" spans="3:4" ht="15.75">
      <c r="C59" s="28"/>
      <c r="D59" s="28"/>
    </row>
    <row r="60" spans="3:4" ht="15.75">
      <c r="C60" s="28"/>
      <c r="D60" s="28"/>
    </row>
    <row r="61" spans="3:4" ht="15.75">
      <c r="C61" s="28"/>
      <c r="D61" s="28"/>
    </row>
    <row r="62" spans="3:4" ht="15.75">
      <c r="C62" s="28"/>
      <c r="D62" s="28"/>
    </row>
    <row r="63" spans="3:4" ht="15.75">
      <c r="C63" s="28"/>
      <c r="D63" s="28"/>
    </row>
    <row r="64" spans="3:4" ht="15.75">
      <c r="C64" s="28"/>
      <c r="D64" s="28"/>
    </row>
    <row r="65" spans="3:4" ht="15.75">
      <c r="C65" s="28"/>
      <c r="D65" s="28"/>
    </row>
    <row r="66" spans="3:4" ht="15.75">
      <c r="C66" s="28"/>
      <c r="D66" s="28"/>
    </row>
    <row r="67" spans="3:4" ht="15.75">
      <c r="C67" s="28"/>
      <c r="D67" s="28"/>
    </row>
    <row r="68" spans="3:4" ht="15.75">
      <c r="C68" s="28"/>
      <c r="D68" s="28"/>
    </row>
    <row r="69" spans="3:4" ht="15.75">
      <c r="C69" s="28"/>
      <c r="D69" s="28"/>
    </row>
    <row r="70" spans="3:4" ht="15.75">
      <c r="C70" s="28"/>
      <c r="D70" s="28"/>
    </row>
    <row r="71" spans="3:4" ht="15.75">
      <c r="C71" s="71"/>
      <c r="D71" s="71"/>
    </row>
    <row r="75" spans="3:4" ht="15.75">
      <c r="C75" s="28"/>
      <c r="D75" s="28"/>
    </row>
    <row r="76" spans="3:4" ht="15.75">
      <c r="C76" s="28"/>
      <c r="D76" s="28"/>
    </row>
    <row r="79" ht="15.75">
      <c r="C79" s="25"/>
    </row>
    <row r="80" ht="15.75">
      <c r="C80" s="16"/>
    </row>
  </sheetData>
  <sheetProtection/>
  <mergeCells count="14">
    <mergeCell ref="A6:E6"/>
    <mergeCell ref="A9:B9"/>
    <mergeCell ref="A51:B51"/>
    <mergeCell ref="C51:D51"/>
    <mergeCell ref="A55:B55"/>
    <mergeCell ref="C55:D55"/>
    <mergeCell ref="A57:B57"/>
    <mergeCell ref="C57:D57"/>
    <mergeCell ref="E51:F51"/>
    <mergeCell ref="F6:G6"/>
    <mergeCell ref="A16:A18"/>
    <mergeCell ref="B16:B18"/>
    <mergeCell ref="E16:E18"/>
    <mergeCell ref="C16:D17"/>
  </mergeCells>
  <printOptions/>
  <pageMargins left="0.5511811023622047" right="0" top="0.31496062992125984" bottom="0.03937007874015748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135"/>
  <sheetViews>
    <sheetView zoomScale="85" zoomScaleNormal="85" zoomScalePageLayoutView="0" workbookViewId="0" topLeftCell="A1">
      <selection activeCell="M6" sqref="M6"/>
    </sheetView>
  </sheetViews>
  <sheetFormatPr defaultColWidth="9.00390625" defaultRowHeight="15.75"/>
  <cols>
    <col min="1" max="1" width="33.125" style="0" customWidth="1"/>
    <col min="2" max="2" width="11.25390625" style="0" hidden="1" customWidth="1"/>
    <col min="3" max="3" width="15.625" style="0" hidden="1" customWidth="1"/>
    <col min="4" max="4" width="13.625" style="0" hidden="1" customWidth="1"/>
    <col min="5" max="5" width="19.75390625" style="0" customWidth="1"/>
    <col min="6" max="6" width="17.625" style="0" customWidth="1"/>
    <col min="7" max="7" width="11.625" style="0" hidden="1" customWidth="1"/>
    <col min="8" max="9" width="11.625" style="0" customWidth="1"/>
    <col min="10" max="10" width="13.875" style="0" customWidth="1"/>
    <col min="11" max="11" width="17.25390625" style="0" customWidth="1"/>
    <col min="12" max="12" width="18.75390625" style="0" customWidth="1"/>
    <col min="13" max="13" width="17.00390625" style="0" customWidth="1"/>
    <col min="14" max="14" width="13.375" style="0" customWidth="1"/>
    <col min="15" max="15" width="12.25390625" style="0" customWidth="1"/>
    <col min="16" max="16" width="12.125" style="0" customWidth="1"/>
    <col min="19" max="19" width="9.375" style="0" bestFit="1" customWidth="1"/>
  </cols>
  <sheetData>
    <row r="1" spans="1:15" ht="15.75" customHeight="1">
      <c r="A1" s="889" t="s">
        <v>42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</row>
    <row r="2" spans="1:15" ht="29.25" customHeight="1">
      <c r="A2" s="890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</row>
    <row r="3" spans="1:16" ht="29.25" customHeight="1">
      <c r="A3" s="700"/>
      <c r="B3" s="700"/>
      <c r="C3" s="700"/>
      <c r="D3" s="700"/>
      <c r="E3" s="891" t="s">
        <v>339</v>
      </c>
      <c r="F3" s="892"/>
      <c r="G3" s="892"/>
      <c r="H3" s="892"/>
      <c r="I3" s="892"/>
      <c r="J3" s="893"/>
      <c r="K3" s="891" t="s">
        <v>340</v>
      </c>
      <c r="L3" s="892"/>
      <c r="M3" s="892"/>
      <c r="N3" s="892"/>
      <c r="O3" s="892"/>
      <c r="P3" s="893"/>
    </row>
    <row r="4" spans="1:16" ht="63" customHeight="1" thickBot="1">
      <c r="A4" s="694" t="s">
        <v>382</v>
      </c>
      <c r="B4" s="695" t="s">
        <v>168</v>
      </c>
      <c r="C4" s="695" t="s">
        <v>169</v>
      </c>
      <c r="D4" s="696" t="s">
        <v>170</v>
      </c>
      <c r="E4" s="697" t="s">
        <v>309</v>
      </c>
      <c r="F4" s="698" t="s">
        <v>172</v>
      </c>
      <c r="G4" s="699" t="s">
        <v>383</v>
      </c>
      <c r="H4" s="698" t="s">
        <v>753</v>
      </c>
      <c r="I4" s="698" t="s">
        <v>751</v>
      </c>
      <c r="J4" s="702" t="s">
        <v>752</v>
      </c>
      <c r="K4" s="697" t="s">
        <v>309</v>
      </c>
      <c r="L4" s="698" t="s">
        <v>172</v>
      </c>
      <c r="M4" s="703" t="s">
        <v>753</v>
      </c>
      <c r="N4" s="703" t="s">
        <v>751</v>
      </c>
      <c r="O4" s="701" t="s">
        <v>752</v>
      </c>
      <c r="P4" s="702" t="s">
        <v>149</v>
      </c>
    </row>
    <row r="5" spans="1:16" ht="18.75" customHeight="1" thickBot="1">
      <c r="A5" s="692" t="s">
        <v>384</v>
      </c>
      <c r="B5" s="693">
        <f>SUM(C5:D5)</f>
        <v>108071.73959999999</v>
      </c>
      <c r="C5" s="693">
        <f>C6+C27+C33</f>
        <v>96271.73959999999</v>
      </c>
      <c r="D5" s="693">
        <f>D6+D27+D33+D39</f>
        <v>11800</v>
      </c>
      <c r="E5" s="704">
        <f>SUM(F5,J5)</f>
        <v>91586.22</v>
      </c>
      <c r="F5" s="705">
        <f>F6+F27+F33+F39</f>
        <v>81586.22</v>
      </c>
      <c r="G5" s="706">
        <f>G6+G27+G33+G39</f>
        <v>0</v>
      </c>
      <c r="H5" s="706">
        <f>H6+H27+H33+H39</f>
        <v>47584.326</v>
      </c>
      <c r="I5" s="706">
        <f>I6+I27+I33+I39</f>
        <v>34001.884</v>
      </c>
      <c r="J5" s="707">
        <f>J6+J27+J33+J39</f>
        <v>10000</v>
      </c>
      <c r="K5" s="754">
        <f>SUM(M5:O5)</f>
        <v>86260.25615</v>
      </c>
      <c r="L5" s="705">
        <f>L6+L27+L33+L39</f>
        <v>76260.26</v>
      </c>
      <c r="M5" s="708">
        <f>M6+M27+M33+M39</f>
        <v>45404.41</v>
      </c>
      <c r="N5" s="708">
        <f>N6+N27+N33+N39</f>
        <v>30855.850000000002</v>
      </c>
      <c r="O5" s="762">
        <f>O6+O27+O33+O39</f>
        <v>9999.996149999999</v>
      </c>
      <c r="P5" s="762">
        <f>P6+P27+P33+P39</f>
        <v>0</v>
      </c>
    </row>
    <row r="6" spans="1:16" ht="27" customHeight="1" thickBot="1">
      <c r="A6" s="405" t="s">
        <v>561</v>
      </c>
      <c r="B6" s="520">
        <f>B7+B13+B19+B24+B25+B26+B22+B23</f>
        <v>83872.83059999999</v>
      </c>
      <c r="C6" s="520">
        <f>C7+C13+C19+C24+C25+C26+C22+C23</f>
        <v>83872.83059999999</v>
      </c>
      <c r="D6" s="520">
        <f>D7+D13+D19+D24+D25+D26+D22</f>
        <v>0</v>
      </c>
      <c r="E6" s="709">
        <f>SUM(F6,J6)</f>
        <v>71078.67</v>
      </c>
      <c r="F6" s="710">
        <f>F7+F13+F19+F24+F25+F26+F22+F23</f>
        <v>71078.67</v>
      </c>
      <c r="G6" s="711">
        <f>G7+G13+G19+G24</f>
        <v>0</v>
      </c>
      <c r="H6" s="711">
        <f>H7+H13+H19+H24+H25+H26+H22+H23</f>
        <v>47584.326</v>
      </c>
      <c r="I6" s="711">
        <f>I7+I13+I19+I24+I25+I26+I22+I23</f>
        <v>23494.334</v>
      </c>
      <c r="J6" s="712">
        <f>J7+J13+J19+J24</f>
        <v>0</v>
      </c>
      <c r="K6" s="754">
        <f>SUM(M6:O6)</f>
        <v>54728.73</v>
      </c>
      <c r="L6" s="710">
        <f>SUM(M6:N6)</f>
        <v>54728.73</v>
      </c>
      <c r="M6" s="711">
        <f>M7+M13+M19+M24+M25+M26+M22+M23</f>
        <v>45404.41</v>
      </c>
      <c r="N6" s="711">
        <f>N7+N13+N19+N24+N25+N26+N22+N23</f>
        <v>9324.320000000002</v>
      </c>
      <c r="O6" s="763">
        <f>O7+O13+O19+O24+O25+O26+O22+O23</f>
        <v>0</v>
      </c>
      <c r="P6" s="763">
        <f>P7+P13+P19+P24+P25+P26+P22+P23</f>
        <v>0</v>
      </c>
    </row>
    <row r="7" spans="1:16" ht="27" thickBot="1">
      <c r="A7" s="397" t="s">
        <v>550</v>
      </c>
      <c r="B7" s="520">
        <f>SUM(C7:D7)</f>
        <v>18522.719599999997</v>
      </c>
      <c r="C7" s="520">
        <f>SUM(C8:C11)</f>
        <v>18522.719599999997</v>
      </c>
      <c r="D7" s="520">
        <f>SUM(D8:D11)</f>
        <v>0</v>
      </c>
      <c r="E7" s="714">
        <f aca="true" t="shared" si="0" ref="E7:E13">F7+J7</f>
        <v>15697.22</v>
      </c>
      <c r="F7" s="685">
        <f>SUM(F8:F11)</f>
        <v>15697.22</v>
      </c>
      <c r="G7" s="398">
        <f>SUM(G8:G11)</f>
        <v>0</v>
      </c>
      <c r="H7" s="398">
        <f>SUM(H8:H11)</f>
        <v>15697.22</v>
      </c>
      <c r="I7" s="398">
        <f>SUM(I8:I11)</f>
        <v>0</v>
      </c>
      <c r="J7" s="688">
        <f>SUM(J8:J11)</f>
        <v>0</v>
      </c>
      <c r="K7" s="754">
        <f>SUM(K8:K12)</f>
        <v>4291.240000000001</v>
      </c>
      <c r="L7" s="710">
        <f>SUM(L8:L12)</f>
        <v>4291.240000000001</v>
      </c>
      <c r="M7" s="398">
        <f>SUM(M8:M12)</f>
        <v>4291.240000000001</v>
      </c>
      <c r="N7" s="398">
        <f>SUM(N8:N11)</f>
        <v>0</v>
      </c>
      <c r="O7" s="764">
        <f>SUM(O8:O11)</f>
        <v>0</v>
      </c>
      <c r="P7" s="445"/>
    </row>
    <row r="8" spans="1:19" ht="31.5">
      <c r="A8" s="206" t="s">
        <v>551</v>
      </c>
      <c r="B8" s="520">
        <f aca="true" t="shared" si="1" ref="B8:B26">SUM(C8:D8)</f>
        <v>997.0173999999998</v>
      </c>
      <c r="C8" s="522">
        <f>F8*1.18</f>
        <v>997.0173999999998</v>
      </c>
      <c r="D8" s="523"/>
      <c r="E8" s="714">
        <f t="shared" si="0"/>
        <v>844.93</v>
      </c>
      <c r="F8" s="715">
        <v>844.93</v>
      </c>
      <c r="G8" s="716"/>
      <c r="H8" s="717">
        <v>844.93</v>
      </c>
      <c r="I8" s="716"/>
      <c r="J8" s="718"/>
      <c r="K8" s="759">
        <f aca="true" t="shared" si="2" ref="K8:K21">SUM(M8:O8)</f>
        <v>467.98</v>
      </c>
      <c r="L8" s="715">
        <f>SUM(M8:N8)</f>
        <v>467.98</v>
      </c>
      <c r="M8" s="716">
        <v>467.98</v>
      </c>
      <c r="N8" s="720"/>
      <c r="O8" s="765"/>
      <c r="P8" s="445"/>
      <c r="S8" s="395"/>
    </row>
    <row r="9" spans="1:19" ht="31.5">
      <c r="A9" s="206" t="s">
        <v>552</v>
      </c>
      <c r="B9" s="520">
        <f t="shared" si="1"/>
        <v>2334.8306</v>
      </c>
      <c r="C9" s="522">
        <f aca="true" t="shared" si="3" ref="C9:C38">F9*1.18</f>
        <v>2334.8306</v>
      </c>
      <c r="D9" s="523"/>
      <c r="E9" s="714">
        <f t="shared" si="0"/>
        <v>1978.67</v>
      </c>
      <c r="F9" s="721">
        <v>1978.67</v>
      </c>
      <c r="G9" s="716"/>
      <c r="H9" s="722">
        <v>1978.67</v>
      </c>
      <c r="I9" s="716"/>
      <c r="J9" s="718"/>
      <c r="K9" s="759">
        <f t="shared" si="2"/>
        <v>1594.58</v>
      </c>
      <c r="L9" s="715">
        <f>SUM(M9:N9)</f>
        <v>1594.58</v>
      </c>
      <c r="M9" s="716">
        <v>1594.58</v>
      </c>
      <c r="N9" s="719"/>
      <c r="O9" s="765"/>
      <c r="P9" s="445"/>
      <c r="S9" s="395"/>
    </row>
    <row r="10" spans="1:19" ht="31.5">
      <c r="A10" s="206" t="s">
        <v>553</v>
      </c>
      <c r="B10" s="520">
        <f t="shared" si="1"/>
        <v>2936.6659999999997</v>
      </c>
      <c r="C10" s="522">
        <f t="shared" si="3"/>
        <v>2936.6659999999997</v>
      </c>
      <c r="D10" s="523"/>
      <c r="E10" s="714">
        <f t="shared" si="0"/>
        <v>2488.7</v>
      </c>
      <c r="F10" s="721">
        <v>2488.7</v>
      </c>
      <c r="G10" s="716"/>
      <c r="H10" s="722">
        <v>2488.7</v>
      </c>
      <c r="I10" s="716"/>
      <c r="J10" s="718"/>
      <c r="K10" s="759">
        <f t="shared" si="2"/>
        <v>2216.13</v>
      </c>
      <c r="L10" s="715">
        <f>SUM(M10:N10)</f>
        <v>2216.13</v>
      </c>
      <c r="M10" s="716">
        <v>2216.13</v>
      </c>
      <c r="N10" s="720"/>
      <c r="O10" s="765"/>
      <c r="P10" s="445"/>
      <c r="S10" s="395"/>
    </row>
    <row r="11" spans="1:19" ht="31.5">
      <c r="A11" s="206" t="s">
        <v>422</v>
      </c>
      <c r="B11" s="520">
        <f t="shared" si="1"/>
        <v>12254.2056</v>
      </c>
      <c r="C11" s="522">
        <f t="shared" si="3"/>
        <v>12254.2056</v>
      </c>
      <c r="D11" s="523"/>
      <c r="E11" s="714">
        <f t="shared" si="0"/>
        <v>10384.92</v>
      </c>
      <c r="F11" s="721">
        <f>H11</f>
        <v>10384.92</v>
      </c>
      <c r="G11" s="716"/>
      <c r="H11" s="722">
        <v>10384.92</v>
      </c>
      <c r="I11" s="716"/>
      <c r="J11" s="718"/>
      <c r="K11" s="759">
        <f t="shared" si="2"/>
        <v>0</v>
      </c>
      <c r="L11" s="715">
        <f>SUM(M11:N11)</f>
        <v>0</v>
      </c>
      <c r="M11" s="716">
        <v>0</v>
      </c>
      <c r="N11" s="720"/>
      <c r="O11" s="765"/>
      <c r="P11" s="445"/>
      <c r="S11" s="781"/>
    </row>
    <row r="12" spans="1:16" ht="31.5">
      <c r="A12" s="207" t="s">
        <v>703</v>
      </c>
      <c r="B12" s="520">
        <f t="shared" si="1"/>
        <v>0</v>
      </c>
      <c r="C12" s="522">
        <f t="shared" si="3"/>
        <v>0</v>
      </c>
      <c r="D12" s="523"/>
      <c r="E12" s="714">
        <f t="shared" si="0"/>
        <v>0</v>
      </c>
      <c r="F12" s="721">
        <v>0</v>
      </c>
      <c r="G12" s="716"/>
      <c r="H12" s="722">
        <v>0</v>
      </c>
      <c r="I12" s="716"/>
      <c r="J12" s="718"/>
      <c r="K12" s="759">
        <f t="shared" si="2"/>
        <v>12.55</v>
      </c>
      <c r="L12" s="715">
        <v>12.55</v>
      </c>
      <c r="M12" s="716">
        <v>12.55</v>
      </c>
      <c r="N12" s="720"/>
      <c r="O12" s="765"/>
      <c r="P12" s="445"/>
    </row>
    <row r="13" spans="1:16" ht="18.75" customHeight="1">
      <c r="A13" s="428" t="s">
        <v>554</v>
      </c>
      <c r="B13" s="520">
        <f t="shared" si="1"/>
        <v>14777.9306</v>
      </c>
      <c r="C13" s="521">
        <f>SUM(C14:C18)</f>
        <v>14777.9306</v>
      </c>
      <c r="D13" s="521">
        <f>SUM(D14:D18)</f>
        <v>0</v>
      </c>
      <c r="E13" s="714">
        <f t="shared" si="0"/>
        <v>12523.67</v>
      </c>
      <c r="F13" s="685">
        <f>SUM(F14:F18)</f>
        <v>12523.67</v>
      </c>
      <c r="G13" s="401">
        <f>SUM(G14:G18)</f>
        <v>0</v>
      </c>
      <c r="H13" s="401">
        <f>SUM(H14:H18)</f>
        <v>12523.67</v>
      </c>
      <c r="I13" s="401">
        <f>SUM(I14:I18)</f>
        <v>0</v>
      </c>
      <c r="J13" s="688">
        <f>SUM(J14:J18)</f>
        <v>0</v>
      </c>
      <c r="K13" s="755">
        <f t="shared" si="2"/>
        <v>9020.130000000001</v>
      </c>
      <c r="L13" s="685">
        <f>SUM(L14:L18)</f>
        <v>9020.130000000001</v>
      </c>
      <c r="M13" s="401">
        <f>SUM(M14:M18)</f>
        <v>9020.130000000001</v>
      </c>
      <c r="N13" s="401">
        <f>SUM(N14:N18)</f>
        <v>0</v>
      </c>
      <c r="O13" s="764">
        <f>SUM(O14:O18)</f>
        <v>0</v>
      </c>
      <c r="P13" s="760">
        <f>SUM(P14:P18)</f>
        <v>0</v>
      </c>
    </row>
    <row r="14" spans="1:16" ht="15.75">
      <c r="A14" s="402" t="s">
        <v>386</v>
      </c>
      <c r="B14" s="520">
        <f t="shared" si="1"/>
        <v>12417.14</v>
      </c>
      <c r="C14" s="522">
        <f t="shared" si="3"/>
        <v>12417.14</v>
      </c>
      <c r="D14" s="523"/>
      <c r="E14" s="723">
        <f aca="true" t="shared" si="4" ref="E14:E38">SUM(F14,J14)</f>
        <v>10523</v>
      </c>
      <c r="F14" s="686">
        <v>10523</v>
      </c>
      <c r="G14" s="716"/>
      <c r="H14" s="400">
        <v>10523</v>
      </c>
      <c r="I14" s="716"/>
      <c r="J14" s="718"/>
      <c r="K14" s="759">
        <f t="shared" si="2"/>
        <v>6100.07</v>
      </c>
      <c r="L14" s="715">
        <f aca="true" t="shared" si="5" ref="L14:L21">SUM(M14:N14)</f>
        <v>6100.07</v>
      </c>
      <c r="M14" s="716">
        <v>6100.07</v>
      </c>
      <c r="N14" s="720"/>
      <c r="O14" s="765"/>
      <c r="P14" s="445"/>
    </row>
    <row r="15" spans="1:16" ht="31.5">
      <c r="A15" s="208" t="s">
        <v>556</v>
      </c>
      <c r="B15" s="520">
        <f t="shared" si="1"/>
        <v>342.9552</v>
      </c>
      <c r="C15" s="522">
        <f t="shared" si="3"/>
        <v>342.9552</v>
      </c>
      <c r="D15" s="523"/>
      <c r="E15" s="723">
        <f t="shared" si="4"/>
        <v>290.64</v>
      </c>
      <c r="F15" s="686">
        <v>290.64</v>
      </c>
      <c r="G15" s="716"/>
      <c r="H15" s="400">
        <v>290.64</v>
      </c>
      <c r="I15" s="716"/>
      <c r="J15" s="718"/>
      <c r="K15" s="759">
        <f t="shared" si="2"/>
        <v>353.39</v>
      </c>
      <c r="L15" s="715">
        <f t="shared" si="5"/>
        <v>353.39</v>
      </c>
      <c r="M15" s="716">
        <v>353.39</v>
      </c>
      <c r="N15" s="720"/>
      <c r="O15" s="765"/>
      <c r="P15" s="445"/>
    </row>
    <row r="16" spans="1:16" ht="31.5">
      <c r="A16" s="208" t="s">
        <v>552</v>
      </c>
      <c r="B16" s="520">
        <f t="shared" si="1"/>
        <v>411.53679999999997</v>
      </c>
      <c r="C16" s="522">
        <f t="shared" si="3"/>
        <v>411.53679999999997</v>
      </c>
      <c r="D16" s="523"/>
      <c r="E16" s="723">
        <f t="shared" si="4"/>
        <v>348.76</v>
      </c>
      <c r="F16" s="686">
        <v>348.76</v>
      </c>
      <c r="G16" s="716"/>
      <c r="H16" s="400">
        <v>348.76</v>
      </c>
      <c r="I16" s="716"/>
      <c r="J16" s="718"/>
      <c r="K16" s="759">
        <f t="shared" si="2"/>
        <v>413.67</v>
      </c>
      <c r="L16" s="715">
        <f t="shared" si="5"/>
        <v>413.67</v>
      </c>
      <c r="M16" s="716">
        <v>413.67</v>
      </c>
      <c r="N16" s="720"/>
      <c r="O16" s="765"/>
      <c r="P16" s="445"/>
    </row>
    <row r="17" spans="1:16" ht="31.5">
      <c r="A17" s="208" t="s">
        <v>557</v>
      </c>
      <c r="B17" s="520">
        <f t="shared" si="1"/>
        <v>411.53679999999997</v>
      </c>
      <c r="C17" s="522">
        <f t="shared" si="3"/>
        <v>411.53679999999997</v>
      </c>
      <c r="D17" s="523"/>
      <c r="E17" s="723">
        <f t="shared" si="4"/>
        <v>348.76</v>
      </c>
      <c r="F17" s="686">
        <v>348.76</v>
      </c>
      <c r="G17" s="716"/>
      <c r="H17" s="400">
        <v>348.76</v>
      </c>
      <c r="I17" s="716"/>
      <c r="J17" s="718"/>
      <c r="K17" s="759">
        <f t="shared" si="2"/>
        <v>459.63</v>
      </c>
      <c r="L17" s="715">
        <f t="shared" si="5"/>
        <v>459.63</v>
      </c>
      <c r="M17" s="716">
        <v>459.63</v>
      </c>
      <c r="N17" s="720"/>
      <c r="O17" s="765"/>
      <c r="P17" s="445"/>
    </row>
    <row r="18" spans="1:16" ht="31.5">
      <c r="A18" s="208" t="s">
        <v>558</v>
      </c>
      <c r="B18" s="520">
        <f t="shared" si="1"/>
        <v>1194.7618</v>
      </c>
      <c r="C18" s="522">
        <f t="shared" si="3"/>
        <v>1194.7618</v>
      </c>
      <c r="D18" s="523"/>
      <c r="E18" s="723">
        <f t="shared" si="4"/>
        <v>1012.51</v>
      </c>
      <c r="F18" s="686">
        <v>1012.51</v>
      </c>
      <c r="G18" s="716"/>
      <c r="H18" s="400">
        <v>1012.51</v>
      </c>
      <c r="I18" s="716"/>
      <c r="J18" s="718"/>
      <c r="K18" s="759">
        <f t="shared" si="2"/>
        <v>1693.37</v>
      </c>
      <c r="L18" s="715">
        <f t="shared" si="5"/>
        <v>1693.37</v>
      </c>
      <c r="M18" s="716">
        <v>1693.37</v>
      </c>
      <c r="N18" s="720"/>
      <c r="O18" s="765"/>
      <c r="P18" s="445"/>
    </row>
    <row r="19" spans="1:16" ht="34.5" customHeight="1">
      <c r="A19" s="403" t="s">
        <v>387</v>
      </c>
      <c r="B19" s="520">
        <f t="shared" si="1"/>
        <v>16580.7936</v>
      </c>
      <c r="C19" s="520">
        <f>SUM(C20:C21)</f>
        <v>16580.7936</v>
      </c>
      <c r="D19" s="520">
        <f>SUM(D20:D21)</f>
        <v>0</v>
      </c>
      <c r="E19" s="714">
        <f t="shared" si="4"/>
        <v>14051.52</v>
      </c>
      <c r="F19" s="710">
        <f aca="true" t="shared" si="6" ref="F19:O19">SUM(F20:F21)</f>
        <v>14051.52</v>
      </c>
      <c r="G19" s="724">
        <f t="shared" si="6"/>
        <v>0</v>
      </c>
      <c r="H19" s="724">
        <f t="shared" si="6"/>
        <v>14051.52</v>
      </c>
      <c r="I19" s="724">
        <f t="shared" si="6"/>
        <v>0</v>
      </c>
      <c r="J19" s="712">
        <f t="shared" si="6"/>
        <v>0</v>
      </c>
      <c r="K19" s="709">
        <f t="shared" si="6"/>
        <v>10885.039999999999</v>
      </c>
      <c r="L19" s="710">
        <f t="shared" si="6"/>
        <v>10885.039999999999</v>
      </c>
      <c r="M19" s="724">
        <f t="shared" si="6"/>
        <v>10885.039999999999</v>
      </c>
      <c r="N19" s="724">
        <f t="shared" si="6"/>
        <v>0</v>
      </c>
      <c r="O19" s="763">
        <f t="shared" si="6"/>
        <v>0</v>
      </c>
      <c r="P19" s="445"/>
    </row>
    <row r="20" spans="1:16" ht="34.5" customHeight="1">
      <c r="A20" s="429" t="s">
        <v>52</v>
      </c>
      <c r="B20" s="520">
        <f t="shared" si="1"/>
        <v>3971.5142</v>
      </c>
      <c r="C20" s="522">
        <f t="shared" si="3"/>
        <v>3971.5142</v>
      </c>
      <c r="D20" s="520"/>
      <c r="E20" s="723">
        <f t="shared" si="4"/>
        <v>3365.69</v>
      </c>
      <c r="F20" s="725">
        <v>3365.69</v>
      </c>
      <c r="G20" s="724"/>
      <c r="H20" s="726">
        <v>3365.69</v>
      </c>
      <c r="I20" s="724"/>
      <c r="J20" s="727"/>
      <c r="K20" s="759">
        <f t="shared" si="2"/>
        <v>1765.31</v>
      </c>
      <c r="L20" s="715">
        <f t="shared" si="5"/>
        <v>1765.31</v>
      </c>
      <c r="M20" s="716">
        <v>1765.31</v>
      </c>
      <c r="N20" s="720"/>
      <c r="O20" s="765"/>
      <c r="P20" s="445"/>
    </row>
    <row r="21" spans="1:16" ht="31.5">
      <c r="A21" s="208" t="s">
        <v>560</v>
      </c>
      <c r="B21" s="520">
        <f t="shared" si="1"/>
        <v>12609.2794</v>
      </c>
      <c r="C21" s="522">
        <f t="shared" si="3"/>
        <v>12609.2794</v>
      </c>
      <c r="D21" s="523"/>
      <c r="E21" s="723">
        <f t="shared" si="4"/>
        <v>10685.83</v>
      </c>
      <c r="F21" s="721">
        <f>10685.83</f>
        <v>10685.83</v>
      </c>
      <c r="G21" s="728"/>
      <c r="H21" s="722">
        <f>10685.83</f>
        <v>10685.83</v>
      </c>
      <c r="I21" s="728"/>
      <c r="J21" s="729"/>
      <c r="K21" s="759">
        <f t="shared" si="2"/>
        <v>9119.73</v>
      </c>
      <c r="L21" s="715">
        <f t="shared" si="5"/>
        <v>9119.73</v>
      </c>
      <c r="M21" s="716">
        <v>9119.73</v>
      </c>
      <c r="N21" s="720"/>
      <c r="O21" s="765"/>
      <c r="P21" s="445"/>
    </row>
    <row r="22" spans="1:16" ht="47.25">
      <c r="A22" s="594" t="s">
        <v>750</v>
      </c>
      <c r="B22" s="520">
        <f>SUM(C22:D22)</f>
        <v>17027.399999999998</v>
      </c>
      <c r="C22" s="522">
        <f>F22*1.18</f>
        <v>17027.399999999998</v>
      </c>
      <c r="D22" s="524"/>
      <c r="E22" s="714">
        <f t="shared" si="4"/>
        <v>14430</v>
      </c>
      <c r="F22" s="730">
        <f>H22+I22</f>
        <v>14430</v>
      </c>
      <c r="G22" s="400"/>
      <c r="H22" s="731">
        <v>0</v>
      </c>
      <c r="I22" s="731">
        <v>14430</v>
      </c>
      <c r="J22" s="732">
        <v>0</v>
      </c>
      <c r="K22" s="755">
        <f>SUM(M22:O22)</f>
        <v>15283.25</v>
      </c>
      <c r="L22" s="730">
        <f>SUM(M22:N22)</f>
        <v>15283.25</v>
      </c>
      <c r="M22" s="750">
        <v>15283.25</v>
      </c>
      <c r="N22" s="720"/>
      <c r="O22" s="765"/>
      <c r="P22" s="445"/>
    </row>
    <row r="23" spans="1:16" ht="47.25">
      <c r="A23" s="594" t="s">
        <v>721</v>
      </c>
      <c r="B23" s="520">
        <f>SUM(C23:D23)</f>
        <v>0</v>
      </c>
      <c r="C23" s="522">
        <f>F23*1.18</f>
        <v>0</v>
      </c>
      <c r="D23" s="524"/>
      <c r="E23" s="714">
        <f t="shared" si="4"/>
        <v>0</v>
      </c>
      <c r="F23" s="730">
        <f>H23+I23</f>
        <v>0</v>
      </c>
      <c r="G23" s="400"/>
      <c r="H23" s="400">
        <v>0</v>
      </c>
      <c r="I23" s="820">
        <v>0</v>
      </c>
      <c r="J23" s="718"/>
      <c r="K23" s="755">
        <f>SUM(M23:O23)</f>
        <v>9206.03</v>
      </c>
      <c r="L23" s="730">
        <f>SUM(M23:N23)</f>
        <v>9206.03</v>
      </c>
      <c r="M23" s="750"/>
      <c r="N23" s="750">
        <v>9206.03</v>
      </c>
      <c r="O23" s="765"/>
      <c r="P23" s="445"/>
    </row>
    <row r="24" spans="1:16" ht="42.75" customHeight="1">
      <c r="A24" s="403" t="s">
        <v>388</v>
      </c>
      <c r="B24" s="520">
        <f t="shared" si="1"/>
        <v>6717.976</v>
      </c>
      <c r="C24" s="522">
        <f t="shared" si="3"/>
        <v>6717.976</v>
      </c>
      <c r="D24" s="290"/>
      <c r="E24" s="714">
        <f t="shared" si="4"/>
        <v>5693.2</v>
      </c>
      <c r="F24" s="733">
        <f>5693.2</f>
        <v>5693.2</v>
      </c>
      <c r="G24" s="734"/>
      <c r="H24" s="734">
        <f>5271.276+40.64</f>
        <v>5311.916</v>
      </c>
      <c r="I24" s="734">
        <f>421.924-40.65</f>
        <v>381.274</v>
      </c>
      <c r="J24" s="735"/>
      <c r="K24" s="755">
        <f>SUM(M24:O24)</f>
        <v>5924.75</v>
      </c>
      <c r="L24" s="730">
        <f>SUM(M24:N24)</f>
        <v>5924.75</v>
      </c>
      <c r="M24" s="750">
        <v>5924.75</v>
      </c>
      <c r="N24" s="720"/>
      <c r="O24" s="765"/>
      <c r="P24" s="445"/>
    </row>
    <row r="25" spans="1:16" ht="42.75" customHeight="1">
      <c r="A25" s="403" t="s">
        <v>142</v>
      </c>
      <c r="B25" s="520">
        <f t="shared" si="1"/>
        <v>9892.010799999998</v>
      </c>
      <c r="C25" s="522">
        <f t="shared" si="3"/>
        <v>9892.010799999998</v>
      </c>
      <c r="D25" s="290"/>
      <c r="E25" s="714">
        <f t="shared" si="4"/>
        <v>8383.06</v>
      </c>
      <c r="F25" s="733">
        <v>8383.06</v>
      </c>
      <c r="G25" s="734"/>
      <c r="H25" s="734"/>
      <c r="I25" s="734">
        <v>8383.06</v>
      </c>
      <c r="J25" s="735"/>
      <c r="K25" s="755">
        <f>SUM(M25:O25)</f>
        <v>0</v>
      </c>
      <c r="L25" s="730">
        <f>SUM(M25:N25)</f>
        <v>0</v>
      </c>
      <c r="M25" s="750">
        <v>0</v>
      </c>
      <c r="N25" s="750">
        <v>0</v>
      </c>
      <c r="O25" s="765"/>
      <c r="P25" s="445"/>
    </row>
    <row r="26" spans="1:16" ht="32.25" customHeight="1">
      <c r="A26" s="433" t="s">
        <v>389</v>
      </c>
      <c r="B26" s="520">
        <f t="shared" si="1"/>
        <v>354</v>
      </c>
      <c r="C26" s="522">
        <f t="shared" si="3"/>
        <v>354</v>
      </c>
      <c r="D26" s="525"/>
      <c r="E26" s="714">
        <f t="shared" si="4"/>
        <v>300</v>
      </c>
      <c r="F26" s="725">
        <f>180+120</f>
        <v>300</v>
      </c>
      <c r="G26" s="726"/>
      <c r="H26" s="726"/>
      <c r="I26" s="751">
        <v>300</v>
      </c>
      <c r="J26" s="736"/>
      <c r="K26" s="755">
        <f>SUM(M26:O26)</f>
        <v>118.29</v>
      </c>
      <c r="L26" s="725">
        <f>SUM(M26:N26)</f>
        <v>118.29</v>
      </c>
      <c r="M26" s="750"/>
      <c r="N26" s="750">
        <v>118.29</v>
      </c>
      <c r="O26" s="765"/>
      <c r="P26" s="445"/>
    </row>
    <row r="27" spans="1:16" s="437" customFormat="1" ht="29.25" customHeight="1">
      <c r="A27" s="515" t="s">
        <v>391</v>
      </c>
      <c r="B27" s="520">
        <f aca="true" t="shared" si="7" ref="B27:B40">SUM(C27:D27)</f>
        <v>4728.201</v>
      </c>
      <c r="C27" s="526">
        <f>SUM(C28:C32)</f>
        <v>4728.201</v>
      </c>
      <c r="D27" s="526">
        <f>SUM(D32:D32)</f>
        <v>0</v>
      </c>
      <c r="E27" s="714">
        <f t="shared" si="4"/>
        <v>4006.95</v>
      </c>
      <c r="F27" s="737">
        <f>SUM(F28:F31)</f>
        <v>4006.95</v>
      </c>
      <c r="G27" s="738">
        <f>SUM(G32:G32)</f>
        <v>0</v>
      </c>
      <c r="H27" s="738">
        <f>SUM(H28:H31)</f>
        <v>0</v>
      </c>
      <c r="I27" s="738">
        <f>SUM(I28:I31)</f>
        <v>4006.95</v>
      </c>
      <c r="J27" s="739">
        <f>SUM(J28:J31)</f>
        <v>0</v>
      </c>
      <c r="K27" s="756">
        <f>SUM(K28:K32)</f>
        <v>4548.85</v>
      </c>
      <c r="L27" s="737">
        <f>SUM(L28:L31)</f>
        <v>4548.85</v>
      </c>
      <c r="M27" s="738">
        <f>SUM(M28:M32)</f>
        <v>0</v>
      </c>
      <c r="N27" s="738">
        <f>SUM(N28:N32)</f>
        <v>4548.85</v>
      </c>
      <c r="O27" s="766">
        <f>SUM(O28:O32)</f>
        <v>0</v>
      </c>
      <c r="P27" s="766"/>
    </row>
    <row r="28" spans="1:16" ht="29.25" customHeight="1">
      <c r="A28" s="516" t="s">
        <v>53</v>
      </c>
      <c r="B28" s="520">
        <f>SUM(C28:D28)</f>
        <v>1627.5149999999999</v>
      </c>
      <c r="C28" s="522">
        <f>F28*1.18</f>
        <v>1627.5149999999999</v>
      </c>
      <c r="D28" s="526"/>
      <c r="E28" s="714">
        <f t="shared" si="4"/>
        <v>1379.25</v>
      </c>
      <c r="F28" s="740">
        <v>1379.25</v>
      </c>
      <c r="G28" s="741"/>
      <c r="H28" s="741"/>
      <c r="I28" s="742">
        <v>1379.25</v>
      </c>
      <c r="J28" s="743"/>
      <c r="K28" s="759">
        <f>SUM(M28:O28)</f>
        <v>1633.88</v>
      </c>
      <c r="L28" s="740">
        <f>SUM(M28:N28)</f>
        <v>1633.88</v>
      </c>
      <c r="M28" s="719"/>
      <c r="N28" s="752">
        <v>1633.88</v>
      </c>
      <c r="O28" s="765"/>
      <c r="P28" s="445"/>
    </row>
    <row r="29" spans="1:16" ht="29.25" customHeight="1">
      <c r="A29" s="516" t="s">
        <v>143</v>
      </c>
      <c r="B29" s="520">
        <f t="shared" si="7"/>
        <v>590</v>
      </c>
      <c r="C29" s="522">
        <f t="shared" si="3"/>
        <v>590</v>
      </c>
      <c r="D29" s="526"/>
      <c r="E29" s="714">
        <f t="shared" si="4"/>
        <v>500</v>
      </c>
      <c r="F29" s="740">
        <v>500</v>
      </c>
      <c r="G29" s="741"/>
      <c r="H29" s="741"/>
      <c r="I29" s="742">
        <v>500</v>
      </c>
      <c r="J29" s="743"/>
      <c r="K29" s="759">
        <f>SUM(M29:O29)</f>
        <v>500</v>
      </c>
      <c r="L29" s="740">
        <f>SUM(M29:N29)</f>
        <v>500</v>
      </c>
      <c r="M29" s="719"/>
      <c r="N29" s="752">
        <v>500</v>
      </c>
      <c r="O29" s="765"/>
      <c r="P29" s="445"/>
    </row>
    <row r="30" spans="1:16" ht="29.25" customHeight="1">
      <c r="A30" s="516" t="s">
        <v>144</v>
      </c>
      <c r="B30" s="520">
        <f t="shared" si="7"/>
        <v>1920.686</v>
      </c>
      <c r="C30" s="522">
        <f t="shared" si="3"/>
        <v>1920.686</v>
      </c>
      <c r="D30" s="526"/>
      <c r="E30" s="714">
        <f t="shared" si="4"/>
        <v>1627.7</v>
      </c>
      <c r="F30" s="740">
        <v>1627.7</v>
      </c>
      <c r="G30" s="741"/>
      <c r="H30" s="741"/>
      <c r="I30" s="742">
        <v>1627.7</v>
      </c>
      <c r="J30" s="743"/>
      <c r="K30" s="759">
        <f>SUM(M30:O30)</f>
        <v>1425.48</v>
      </c>
      <c r="L30" s="740">
        <f>SUM(M30:N30)</f>
        <v>1425.48</v>
      </c>
      <c r="M30" s="719"/>
      <c r="N30" s="752">
        <v>1425.48</v>
      </c>
      <c r="O30" s="765"/>
      <c r="P30" s="445"/>
    </row>
    <row r="31" spans="1:16" ht="29.25" customHeight="1">
      <c r="A31" s="516" t="s">
        <v>145</v>
      </c>
      <c r="B31" s="520">
        <f t="shared" si="7"/>
        <v>590</v>
      </c>
      <c r="C31" s="522">
        <f t="shared" si="3"/>
        <v>590</v>
      </c>
      <c r="D31" s="526"/>
      <c r="E31" s="714">
        <f t="shared" si="4"/>
        <v>500</v>
      </c>
      <c r="F31" s="740">
        <v>500</v>
      </c>
      <c r="G31" s="741"/>
      <c r="H31" s="741"/>
      <c r="I31" s="742">
        <v>500</v>
      </c>
      <c r="J31" s="743"/>
      <c r="K31" s="759">
        <f>SUM(M31:O31)</f>
        <v>989.49</v>
      </c>
      <c r="L31" s="740">
        <f>SUM(M31:N31)</f>
        <v>989.49</v>
      </c>
      <c r="M31" s="719"/>
      <c r="N31" s="752">
        <v>989.49</v>
      </c>
      <c r="O31" s="765"/>
      <c r="P31" s="445"/>
    </row>
    <row r="32" spans="1:16" s="550" customFormat="1" ht="30" customHeight="1">
      <c r="A32" s="546" t="s">
        <v>388</v>
      </c>
      <c r="B32" s="547">
        <f t="shared" si="7"/>
        <v>0</v>
      </c>
      <c r="C32" s="544">
        <f t="shared" si="3"/>
        <v>0</v>
      </c>
      <c r="D32" s="540"/>
      <c r="E32" s="714">
        <f t="shared" si="4"/>
        <v>0</v>
      </c>
      <c r="F32" s="721">
        <v>0</v>
      </c>
      <c r="G32" s="744"/>
      <c r="H32" s="744"/>
      <c r="I32" s="744">
        <v>0</v>
      </c>
      <c r="J32" s="729"/>
      <c r="K32" s="759">
        <f>SUM(M32:O32)</f>
        <v>0</v>
      </c>
      <c r="L32" s="740">
        <f>SUM(M32:N32)</f>
        <v>0</v>
      </c>
      <c r="M32" s="745"/>
      <c r="N32" s="753">
        <v>0</v>
      </c>
      <c r="O32" s="765"/>
      <c r="P32" s="691"/>
    </row>
    <row r="33" spans="1:16" s="437" customFormat="1" ht="24" customHeight="1">
      <c r="A33" s="517" t="s">
        <v>390</v>
      </c>
      <c r="B33" s="520">
        <f t="shared" si="7"/>
        <v>7670.7080000000005</v>
      </c>
      <c r="C33" s="595">
        <f>SUM(C34:C38)</f>
        <v>7670.7080000000005</v>
      </c>
      <c r="D33" s="527">
        <f>SUM(D34:D38)</f>
        <v>0</v>
      </c>
      <c r="E33" s="714">
        <f>SUM(F33,J33)</f>
        <v>6500.6</v>
      </c>
      <c r="F33" s="687">
        <f>SUM(F34:F38)</f>
        <v>6500.6</v>
      </c>
      <c r="G33" s="442">
        <f>SUM(G34:G38)</f>
        <v>0</v>
      </c>
      <c r="H33" s="596">
        <f aca="true" t="shared" si="8" ref="H33:M33">SUM(H34:H38)</f>
        <v>0</v>
      </c>
      <c r="I33" s="596">
        <f t="shared" si="8"/>
        <v>6500.6</v>
      </c>
      <c r="J33" s="689">
        <f t="shared" si="8"/>
        <v>0</v>
      </c>
      <c r="K33" s="757">
        <f t="shared" si="8"/>
        <v>15504.98</v>
      </c>
      <c r="L33" s="687">
        <f>SUM(L34:L38)</f>
        <v>15504.98</v>
      </c>
      <c r="M33" s="596">
        <f t="shared" si="8"/>
        <v>0</v>
      </c>
      <c r="N33" s="596">
        <f>SUM(N34:N38)</f>
        <v>15504.98</v>
      </c>
      <c r="O33" s="767">
        <f>SUM(O34:O38)</f>
        <v>0</v>
      </c>
      <c r="P33" s="767"/>
    </row>
    <row r="34" spans="1:16" ht="31.5">
      <c r="A34" s="211" t="s">
        <v>146</v>
      </c>
      <c r="B34" s="520">
        <f t="shared" si="7"/>
        <v>705.05</v>
      </c>
      <c r="C34" s="522">
        <f t="shared" si="3"/>
        <v>705.05</v>
      </c>
      <c r="D34" s="304"/>
      <c r="E34" s="714">
        <f t="shared" si="4"/>
        <v>597.5</v>
      </c>
      <c r="F34" s="715">
        <v>597.5</v>
      </c>
      <c r="G34" s="746"/>
      <c r="H34" s="746"/>
      <c r="I34" s="717">
        <v>597.5</v>
      </c>
      <c r="J34" s="718"/>
      <c r="K34" s="759">
        <f>SUM(M34:O34)</f>
        <v>704.81</v>
      </c>
      <c r="L34" s="740">
        <f>SUM(M34:N34)</f>
        <v>704.81</v>
      </c>
      <c r="M34" s="719"/>
      <c r="N34" s="752">
        <v>704.81</v>
      </c>
      <c r="O34" s="765"/>
      <c r="P34" s="445"/>
    </row>
    <row r="35" spans="1:16" ht="15.75">
      <c r="A35" s="211" t="s">
        <v>147</v>
      </c>
      <c r="B35" s="520">
        <f t="shared" si="7"/>
        <v>478.01800000000003</v>
      </c>
      <c r="C35" s="522">
        <f t="shared" si="3"/>
        <v>478.01800000000003</v>
      </c>
      <c r="D35" s="304"/>
      <c r="E35" s="714">
        <f t="shared" si="4"/>
        <v>405.1</v>
      </c>
      <c r="F35" s="715">
        <v>405.1</v>
      </c>
      <c r="G35" s="746"/>
      <c r="H35" s="746"/>
      <c r="I35" s="717">
        <v>405.1</v>
      </c>
      <c r="J35" s="718"/>
      <c r="K35" s="759">
        <f>SUM(M35:O35)</f>
        <v>436.25</v>
      </c>
      <c r="L35" s="740">
        <f>SUM(M35:N35)</f>
        <v>436.25</v>
      </c>
      <c r="M35" s="719"/>
      <c r="N35" s="752">
        <v>436.25</v>
      </c>
      <c r="O35" s="765"/>
      <c r="P35" s="445"/>
    </row>
    <row r="36" spans="1:16" ht="78.75">
      <c r="A36" s="212" t="s">
        <v>148</v>
      </c>
      <c r="B36" s="520">
        <f t="shared" si="7"/>
        <v>5357.672</v>
      </c>
      <c r="C36" s="522">
        <f t="shared" si="3"/>
        <v>5357.672</v>
      </c>
      <c r="D36" s="304"/>
      <c r="E36" s="714">
        <f t="shared" si="4"/>
        <v>4540.4</v>
      </c>
      <c r="F36" s="715">
        <v>4540.4</v>
      </c>
      <c r="G36" s="746"/>
      <c r="H36" s="746"/>
      <c r="I36" s="717">
        <v>4540.4</v>
      </c>
      <c r="J36" s="718"/>
      <c r="K36" s="759">
        <f>SUM(M36:O36)</f>
        <v>13765.33</v>
      </c>
      <c r="L36" s="740">
        <f>SUM(M36:N36)</f>
        <v>13765.33</v>
      </c>
      <c r="M36" s="719"/>
      <c r="N36" s="752">
        <v>13765.33</v>
      </c>
      <c r="O36" s="765"/>
      <c r="P36" s="445"/>
    </row>
    <row r="37" spans="1:19" ht="26.25">
      <c r="A37" s="404" t="s">
        <v>389</v>
      </c>
      <c r="B37" s="520">
        <f t="shared" si="7"/>
        <v>0</v>
      </c>
      <c r="C37" s="522">
        <f t="shared" si="3"/>
        <v>0</v>
      </c>
      <c r="D37" s="528"/>
      <c r="E37" s="714">
        <f t="shared" si="4"/>
        <v>0</v>
      </c>
      <c r="F37" s="715"/>
      <c r="G37" s="747"/>
      <c r="H37" s="747"/>
      <c r="I37" s="717"/>
      <c r="J37" s="718"/>
      <c r="K37" s="759">
        <f>SUM(M37:O37)</f>
        <v>0</v>
      </c>
      <c r="L37" s="740">
        <f>SUM(M37:N37)</f>
        <v>0</v>
      </c>
      <c r="M37" s="719"/>
      <c r="N37" s="752"/>
      <c r="O37" s="765"/>
      <c r="P37" s="445"/>
      <c r="S37" s="395"/>
    </row>
    <row r="38" spans="1:19" ht="15.75">
      <c r="A38" s="410" t="s">
        <v>388</v>
      </c>
      <c r="B38" s="520">
        <f t="shared" si="7"/>
        <v>1129.968000000001</v>
      </c>
      <c r="C38" s="522">
        <f t="shared" si="3"/>
        <v>1129.968000000001</v>
      </c>
      <c r="D38" s="528"/>
      <c r="E38" s="714">
        <f t="shared" si="4"/>
        <v>957.6000000000008</v>
      </c>
      <c r="F38" s="715">
        <f>6500.6-F36-F35-F34</f>
        <v>957.6000000000008</v>
      </c>
      <c r="G38" s="747"/>
      <c r="H38" s="747"/>
      <c r="I38" s="717">
        <f>6500.6-I36-I35-I34</f>
        <v>957.6000000000008</v>
      </c>
      <c r="J38" s="718"/>
      <c r="K38" s="759">
        <f>SUM(M38:O38)</f>
        <v>598.59</v>
      </c>
      <c r="L38" s="740">
        <f>SUM(M38:N38)</f>
        <v>598.59</v>
      </c>
      <c r="M38" s="719"/>
      <c r="N38" s="752">
        <v>598.59</v>
      </c>
      <c r="O38" s="765"/>
      <c r="P38" s="445"/>
      <c r="S38" s="395"/>
    </row>
    <row r="39" spans="1:19" ht="34.5" customHeight="1">
      <c r="A39" s="515" t="s">
        <v>789</v>
      </c>
      <c r="B39" s="520">
        <f t="shared" si="7"/>
        <v>11800</v>
      </c>
      <c r="C39" s="595">
        <f>SUM(C40:C40)</f>
        <v>0</v>
      </c>
      <c r="D39" s="527">
        <f>SUM(D40:D43)</f>
        <v>11800</v>
      </c>
      <c r="E39" s="713">
        <f aca="true" t="shared" si="9" ref="E39:E45">SUM(F39:J39)</f>
        <v>10000</v>
      </c>
      <c r="F39" s="687">
        <f>SUM(F40:F40)</f>
        <v>0</v>
      </c>
      <c r="G39" s="442">
        <f>SUM(G40:G40)</f>
        <v>0</v>
      </c>
      <c r="H39" s="596">
        <f>SUM(H40:H40)</f>
        <v>0</v>
      </c>
      <c r="I39" s="596">
        <f>SUM(I40:I40)</f>
        <v>0</v>
      </c>
      <c r="J39" s="690">
        <f>SUM(J40:J43)</f>
        <v>10000</v>
      </c>
      <c r="K39" s="758">
        <f>SUM(K40:K45)</f>
        <v>11477.69615</v>
      </c>
      <c r="L39" s="687">
        <f>SUM(L40:L45)</f>
        <v>1477.6999999999998</v>
      </c>
      <c r="M39" s="690">
        <f>SUM(M40:M43)</f>
        <v>0</v>
      </c>
      <c r="N39" s="689">
        <f>SUM(N40:N45)</f>
        <v>1477.6999999999998</v>
      </c>
      <c r="O39" s="761">
        <f>SUM(O40:O45)</f>
        <v>9999.996149999999</v>
      </c>
      <c r="P39" s="761"/>
      <c r="S39" s="395"/>
    </row>
    <row r="40" spans="1:19" ht="47.25">
      <c r="A40" s="209" t="s">
        <v>696</v>
      </c>
      <c r="B40" s="520">
        <f t="shared" si="7"/>
        <v>590</v>
      </c>
      <c r="C40" s="529"/>
      <c r="D40" s="522">
        <f>J40*1.18</f>
        <v>590</v>
      </c>
      <c r="E40" s="714">
        <f t="shared" si="9"/>
        <v>500</v>
      </c>
      <c r="F40" s="748"/>
      <c r="G40" s="720"/>
      <c r="H40" s="720"/>
      <c r="I40" s="720"/>
      <c r="J40" s="749">
        <v>500</v>
      </c>
      <c r="K40" s="759">
        <f aca="true" t="shared" si="10" ref="K40:K45">SUM(M40:O40)</f>
        <v>1651.03</v>
      </c>
      <c r="L40" s="740">
        <f aca="true" t="shared" si="11" ref="L40:L45">SUM(M40:N40)</f>
        <v>895.3399999999999</v>
      </c>
      <c r="M40" s="720"/>
      <c r="N40" s="752">
        <f>1651.03-805-23+72.31</f>
        <v>895.3399999999999</v>
      </c>
      <c r="O40" s="768">
        <f>805+23-72.31</f>
        <v>755.69</v>
      </c>
      <c r="P40" s="800"/>
      <c r="S40" s="395"/>
    </row>
    <row r="41" spans="1:19" ht="47.25">
      <c r="A41" s="209" t="s">
        <v>722</v>
      </c>
      <c r="B41" s="520">
        <f>SUM(C41:D41)</f>
        <v>7080</v>
      </c>
      <c r="C41" s="529"/>
      <c r="D41" s="522">
        <f>J41*1.18</f>
        <v>7080</v>
      </c>
      <c r="E41" s="714">
        <f t="shared" si="9"/>
        <v>6000</v>
      </c>
      <c r="F41" s="748"/>
      <c r="G41" s="720"/>
      <c r="H41" s="720"/>
      <c r="I41" s="720"/>
      <c r="J41" s="749">
        <v>6000</v>
      </c>
      <c r="K41" s="759">
        <f t="shared" si="10"/>
        <v>1095.6</v>
      </c>
      <c r="L41" s="740">
        <f t="shared" si="11"/>
        <v>0</v>
      </c>
      <c r="M41" s="720"/>
      <c r="N41" s="720"/>
      <c r="O41" s="768">
        <f>2393.87-1298.27</f>
        <v>1095.6</v>
      </c>
      <c r="P41" s="445"/>
      <c r="S41" s="395"/>
    </row>
    <row r="42" spans="1:19" ht="47.25">
      <c r="A42" s="209" t="s">
        <v>723</v>
      </c>
      <c r="B42" s="520">
        <f>SUM(C42:D42)</f>
        <v>3540</v>
      </c>
      <c r="C42" s="529"/>
      <c r="D42" s="522">
        <f>J42*1.18</f>
        <v>3540</v>
      </c>
      <c r="E42" s="714">
        <f t="shared" si="9"/>
        <v>3000</v>
      </c>
      <c r="F42" s="748"/>
      <c r="G42" s="720"/>
      <c r="H42" s="720"/>
      <c r="I42" s="720"/>
      <c r="J42" s="749">
        <v>3000</v>
      </c>
      <c r="K42" s="759">
        <f t="shared" si="10"/>
        <v>0</v>
      </c>
      <c r="L42" s="740">
        <f t="shared" si="11"/>
        <v>0</v>
      </c>
      <c r="M42" s="720"/>
      <c r="N42" s="720"/>
      <c r="O42" s="768">
        <v>0</v>
      </c>
      <c r="P42" s="445"/>
      <c r="S42" s="395"/>
    </row>
    <row r="43" spans="1:19" ht="47.25">
      <c r="A43" s="209" t="s">
        <v>705</v>
      </c>
      <c r="B43" s="520">
        <f>SUM(C43:D43)</f>
        <v>590</v>
      </c>
      <c r="C43" s="529"/>
      <c r="D43" s="522">
        <f>J43*1.18</f>
        <v>590</v>
      </c>
      <c r="E43" s="714">
        <f t="shared" si="9"/>
        <v>500</v>
      </c>
      <c r="F43" s="748"/>
      <c r="G43" s="720"/>
      <c r="H43" s="720"/>
      <c r="I43" s="720"/>
      <c r="J43" s="749">
        <v>500</v>
      </c>
      <c r="K43" s="759">
        <f t="shared" si="10"/>
        <v>0</v>
      </c>
      <c r="L43" s="740">
        <f t="shared" si="11"/>
        <v>0</v>
      </c>
      <c r="M43" s="720"/>
      <c r="N43" s="720"/>
      <c r="O43" s="768">
        <v>0</v>
      </c>
      <c r="P43" s="445"/>
      <c r="S43" s="395"/>
    </row>
    <row r="44" spans="1:19" ht="31.5">
      <c r="A44" s="209" t="s">
        <v>791</v>
      </c>
      <c r="B44" s="815">
        <f>SUM(C44:D44)</f>
        <v>0</v>
      </c>
      <c r="C44" s="816"/>
      <c r="D44" s="817">
        <f>J44*1.18</f>
        <v>0</v>
      </c>
      <c r="E44" s="714">
        <v>0</v>
      </c>
      <c r="F44" s="748"/>
      <c r="G44" s="720"/>
      <c r="H44" s="720"/>
      <c r="I44" s="720"/>
      <c r="J44" s="749">
        <v>0</v>
      </c>
      <c r="K44" s="759">
        <f t="shared" si="10"/>
        <v>8148.70615</v>
      </c>
      <c r="L44" s="740">
        <f t="shared" si="11"/>
        <v>0</v>
      </c>
      <c r="M44" s="720"/>
      <c r="N44" s="720"/>
      <c r="O44" s="768">
        <v>8148.70615</v>
      </c>
      <c r="P44" s="445"/>
      <c r="S44" s="395"/>
    </row>
    <row r="45" spans="1:19" ht="31.5">
      <c r="A45" s="209" t="s">
        <v>755</v>
      </c>
      <c r="B45" s="815"/>
      <c r="C45" s="816"/>
      <c r="D45" s="817"/>
      <c r="E45" s="714">
        <f t="shared" si="9"/>
        <v>0</v>
      </c>
      <c r="F45" s="748"/>
      <c r="G45" s="720"/>
      <c r="H45" s="720"/>
      <c r="I45" s="720"/>
      <c r="J45" s="749">
        <v>0</v>
      </c>
      <c r="K45" s="759">
        <f t="shared" si="10"/>
        <v>582.36</v>
      </c>
      <c r="L45" s="740">
        <f t="shared" si="11"/>
        <v>582.36</v>
      </c>
      <c r="M45" s="720"/>
      <c r="N45" s="752">
        <v>582.36</v>
      </c>
      <c r="O45" s="768">
        <v>0</v>
      </c>
      <c r="P45" s="445"/>
      <c r="S45" s="395"/>
    </row>
    <row r="46" spans="1:16" ht="15.75">
      <c r="A46" s="769"/>
      <c r="B46" s="770"/>
      <c r="C46" s="771"/>
      <c r="D46" s="772"/>
      <c r="E46" s="773"/>
      <c r="F46" s="774"/>
      <c r="G46" s="774"/>
      <c r="H46" s="774"/>
      <c r="I46" s="774"/>
      <c r="J46" s="775"/>
      <c r="K46" s="776"/>
      <c r="L46" s="774"/>
      <c r="M46" s="774"/>
      <c r="N46" s="774"/>
      <c r="O46" s="777"/>
      <c r="P46" s="778"/>
    </row>
    <row r="47" spans="1:16" ht="47.25" hidden="1">
      <c r="A47" s="209" t="s">
        <v>741</v>
      </c>
      <c r="E47" s="714">
        <v>0</v>
      </c>
      <c r="F47" s="748"/>
      <c r="G47" s="445"/>
      <c r="H47" s="445"/>
      <c r="I47" s="445"/>
      <c r="J47" s="749"/>
      <c r="K47" s="759">
        <f>SUM(P47)</f>
        <v>5787.2</v>
      </c>
      <c r="L47" s="748"/>
      <c r="M47" s="445"/>
      <c r="N47" s="445"/>
      <c r="O47" s="768"/>
      <c r="P47" s="814">
        <v>5787.2</v>
      </c>
    </row>
    <row r="48" spans="1:16" ht="78.75" hidden="1">
      <c r="A48" s="209" t="s">
        <v>742</v>
      </c>
      <c r="E48" s="714">
        <v>0</v>
      </c>
      <c r="F48" s="748"/>
      <c r="G48" s="445"/>
      <c r="H48" s="445"/>
      <c r="I48" s="445"/>
      <c r="J48" s="749"/>
      <c r="K48" s="759">
        <f>SUM(P48)</f>
        <v>85.21</v>
      </c>
      <c r="L48" s="748"/>
      <c r="M48" s="445"/>
      <c r="N48" s="445"/>
      <c r="O48" s="768"/>
      <c r="P48" s="814">
        <v>85.21</v>
      </c>
    </row>
    <row r="49" spans="1:16" ht="31.5" hidden="1">
      <c r="A49" s="209" t="s">
        <v>743</v>
      </c>
      <c r="E49" s="714">
        <v>0</v>
      </c>
      <c r="F49" s="748"/>
      <c r="G49" s="445"/>
      <c r="H49" s="445"/>
      <c r="I49" s="445"/>
      <c r="J49" s="749"/>
      <c r="K49" s="759">
        <f>SUM(P49)</f>
        <v>7.14</v>
      </c>
      <c r="L49" s="748"/>
      <c r="M49" s="445"/>
      <c r="N49" s="445"/>
      <c r="O49" s="768"/>
      <c r="P49" s="814">
        <v>7.14</v>
      </c>
    </row>
    <row r="50" spans="1:16" ht="31.5" hidden="1">
      <c r="A50" s="209" t="s">
        <v>744</v>
      </c>
      <c r="E50" s="714">
        <v>0</v>
      </c>
      <c r="F50" s="748"/>
      <c r="G50" s="445"/>
      <c r="H50" s="445"/>
      <c r="I50" s="445"/>
      <c r="J50" s="749"/>
      <c r="K50" s="759">
        <f>SUM(P50)</f>
        <v>53.31</v>
      </c>
      <c r="L50" s="748"/>
      <c r="M50" s="445"/>
      <c r="N50" s="445"/>
      <c r="O50" s="768"/>
      <c r="P50" s="814">
        <v>53.31</v>
      </c>
    </row>
    <row r="51" spans="1:16" ht="63" hidden="1">
      <c r="A51" s="209" t="s">
        <v>745</v>
      </c>
      <c r="E51" s="714">
        <v>0</v>
      </c>
      <c r="F51" s="748"/>
      <c r="G51" s="445"/>
      <c r="H51" s="445"/>
      <c r="I51" s="445"/>
      <c r="J51" s="749"/>
      <c r="K51" s="759">
        <f>SUM(P51)</f>
        <v>0.69</v>
      </c>
      <c r="L51" s="748"/>
      <c r="M51" s="445"/>
      <c r="N51" s="445"/>
      <c r="O51" s="768"/>
      <c r="P51" s="800">
        <v>0.69</v>
      </c>
    </row>
    <row r="52" spans="1:16" ht="31.5" hidden="1">
      <c r="A52" s="209" t="s">
        <v>756</v>
      </c>
      <c r="E52" s="714">
        <v>0</v>
      </c>
      <c r="F52" s="748"/>
      <c r="G52" s="445"/>
      <c r="H52" s="445"/>
      <c r="I52" s="445"/>
      <c r="J52" s="749"/>
      <c r="K52" s="759">
        <f aca="true" t="shared" si="12" ref="K52:K68">SUM(P52)</f>
        <v>270.15</v>
      </c>
      <c r="L52" s="748"/>
      <c r="M52" s="445"/>
      <c r="N52" s="445"/>
      <c r="O52" s="768"/>
      <c r="P52" s="814">
        <v>270.15</v>
      </c>
    </row>
    <row r="53" spans="1:16" ht="31.5" hidden="1">
      <c r="A53" s="209" t="s">
        <v>786</v>
      </c>
      <c r="E53" s="714">
        <v>0</v>
      </c>
      <c r="F53" s="748"/>
      <c r="G53" s="445"/>
      <c r="H53" s="445"/>
      <c r="I53" s="445"/>
      <c r="J53" s="749"/>
      <c r="K53" s="759">
        <f>SUM(P53)</f>
        <v>9.8</v>
      </c>
      <c r="L53" s="748"/>
      <c r="M53" s="445"/>
      <c r="N53" s="445"/>
      <c r="O53" s="768"/>
      <c r="P53" s="814">
        <v>9.8</v>
      </c>
    </row>
    <row r="54" spans="1:16" ht="47.25" hidden="1">
      <c r="A54" s="209" t="s">
        <v>785</v>
      </c>
      <c r="E54" s="714">
        <v>0</v>
      </c>
      <c r="F54" s="748"/>
      <c r="G54" s="445"/>
      <c r="H54" s="445"/>
      <c r="I54" s="445"/>
      <c r="J54" s="749"/>
      <c r="K54" s="759">
        <f t="shared" si="12"/>
        <v>127.61</v>
      </c>
      <c r="L54" s="748"/>
      <c r="M54" s="445"/>
      <c r="N54" s="445"/>
      <c r="O54" s="768"/>
      <c r="P54" s="814">
        <v>127.61</v>
      </c>
    </row>
    <row r="55" spans="1:16" ht="31.5" hidden="1">
      <c r="A55" s="209" t="s">
        <v>757</v>
      </c>
      <c r="E55" s="714">
        <v>0</v>
      </c>
      <c r="F55" s="748"/>
      <c r="G55" s="445"/>
      <c r="H55" s="445"/>
      <c r="I55" s="445"/>
      <c r="J55" s="749"/>
      <c r="K55" s="759">
        <f t="shared" si="12"/>
        <v>8.22</v>
      </c>
      <c r="L55" s="748"/>
      <c r="M55" s="445"/>
      <c r="N55" s="445"/>
      <c r="O55" s="768"/>
      <c r="P55" s="814">
        <v>8.22</v>
      </c>
    </row>
    <row r="56" spans="1:16" ht="31.5" hidden="1">
      <c r="A56" s="209" t="s">
        <v>758</v>
      </c>
      <c r="E56" s="714">
        <v>0</v>
      </c>
      <c r="F56" s="748"/>
      <c r="G56" s="445"/>
      <c r="H56" s="445"/>
      <c r="I56" s="445"/>
      <c r="J56" s="749"/>
      <c r="K56" s="759">
        <f t="shared" si="12"/>
        <v>11.62</v>
      </c>
      <c r="L56" s="748"/>
      <c r="M56" s="445"/>
      <c r="N56" s="445"/>
      <c r="O56" s="768"/>
      <c r="P56" s="814">
        <v>11.62</v>
      </c>
    </row>
    <row r="57" spans="1:16" ht="31.5" hidden="1">
      <c r="A57" s="209" t="s">
        <v>759</v>
      </c>
      <c r="E57" s="714">
        <v>0</v>
      </c>
      <c r="F57" s="748"/>
      <c r="G57" s="445"/>
      <c r="H57" s="445"/>
      <c r="I57" s="445"/>
      <c r="J57" s="749"/>
      <c r="K57" s="759">
        <f t="shared" si="12"/>
        <v>96.96</v>
      </c>
      <c r="L57" s="748"/>
      <c r="M57" s="445"/>
      <c r="N57" s="445"/>
      <c r="O57" s="768"/>
      <c r="P57" s="814">
        <v>96.96</v>
      </c>
    </row>
    <row r="58" spans="1:16" ht="31.5" hidden="1">
      <c r="A58" s="209" t="s">
        <v>760</v>
      </c>
      <c r="E58" s="714">
        <v>0</v>
      </c>
      <c r="F58" s="748"/>
      <c r="G58" s="445"/>
      <c r="H58" s="445"/>
      <c r="I58" s="445"/>
      <c r="J58" s="749"/>
      <c r="K58" s="759">
        <f t="shared" si="12"/>
        <v>3.66</v>
      </c>
      <c r="L58" s="748"/>
      <c r="M58" s="445"/>
      <c r="N58" s="445"/>
      <c r="O58" s="768"/>
      <c r="P58" s="814">
        <v>3.66</v>
      </c>
    </row>
    <row r="59" spans="1:16" ht="31.5" hidden="1">
      <c r="A59" s="209" t="s">
        <v>761</v>
      </c>
      <c r="E59" s="714">
        <v>0</v>
      </c>
      <c r="F59" s="748"/>
      <c r="G59" s="445"/>
      <c r="H59" s="445"/>
      <c r="I59" s="445"/>
      <c r="J59" s="749"/>
      <c r="K59" s="759">
        <f t="shared" si="12"/>
        <v>19.23</v>
      </c>
      <c r="L59" s="748"/>
      <c r="M59" s="445"/>
      <c r="N59" s="445"/>
      <c r="O59" s="768"/>
      <c r="P59" s="814">
        <v>19.23</v>
      </c>
    </row>
    <row r="60" spans="1:16" ht="47.25" hidden="1">
      <c r="A60" s="209" t="s">
        <v>762</v>
      </c>
      <c r="E60" s="714">
        <v>0</v>
      </c>
      <c r="F60" s="748"/>
      <c r="G60" s="445"/>
      <c r="H60" s="445"/>
      <c r="I60" s="445"/>
      <c r="J60" s="749"/>
      <c r="K60" s="759">
        <f t="shared" si="12"/>
        <v>7.08</v>
      </c>
      <c r="L60" s="748"/>
      <c r="M60" s="445"/>
      <c r="N60" s="445"/>
      <c r="O60" s="768"/>
      <c r="P60" s="814">
        <v>7.08</v>
      </c>
    </row>
    <row r="61" spans="1:16" ht="31.5" hidden="1">
      <c r="A61" s="209" t="s">
        <v>763</v>
      </c>
      <c r="E61" s="714">
        <v>0</v>
      </c>
      <c r="F61" s="748"/>
      <c r="G61" s="445"/>
      <c r="H61" s="445"/>
      <c r="I61" s="445"/>
      <c r="J61" s="749"/>
      <c r="K61" s="759">
        <f t="shared" si="12"/>
        <v>41.23</v>
      </c>
      <c r="L61" s="748"/>
      <c r="M61" s="445"/>
      <c r="N61" s="445"/>
      <c r="O61" s="768"/>
      <c r="P61" s="814">
        <v>41.23</v>
      </c>
    </row>
    <row r="62" spans="1:16" ht="31.5" hidden="1">
      <c r="A62" s="209" t="s">
        <v>764</v>
      </c>
      <c r="E62" s="714">
        <v>0</v>
      </c>
      <c r="F62" s="748"/>
      <c r="G62" s="445"/>
      <c r="H62" s="445"/>
      <c r="I62" s="445"/>
      <c r="J62" s="749"/>
      <c r="K62" s="759">
        <f t="shared" si="12"/>
        <v>39.89</v>
      </c>
      <c r="L62" s="748"/>
      <c r="M62" s="445"/>
      <c r="N62" s="445"/>
      <c r="O62" s="768"/>
      <c r="P62" s="814">
        <v>39.89</v>
      </c>
    </row>
    <row r="63" spans="1:16" ht="31.5" hidden="1">
      <c r="A63" s="209" t="s">
        <v>765</v>
      </c>
      <c r="E63" s="714">
        <v>0</v>
      </c>
      <c r="F63" s="748"/>
      <c r="G63" s="445"/>
      <c r="H63" s="445"/>
      <c r="I63" s="445"/>
      <c r="J63" s="749"/>
      <c r="K63" s="759">
        <f t="shared" si="12"/>
        <v>195.43</v>
      </c>
      <c r="L63" s="748"/>
      <c r="M63" s="445"/>
      <c r="N63" s="445"/>
      <c r="O63" s="768"/>
      <c r="P63" s="814">
        <v>195.43</v>
      </c>
    </row>
    <row r="64" spans="1:16" ht="31.5" hidden="1">
      <c r="A64" s="209" t="s">
        <v>779</v>
      </c>
      <c r="E64" s="714">
        <v>0</v>
      </c>
      <c r="F64" s="748"/>
      <c r="G64" s="445"/>
      <c r="H64" s="445"/>
      <c r="I64" s="445"/>
      <c r="J64" s="749"/>
      <c r="K64" s="759">
        <f>SUM(P64)</f>
        <v>593.22</v>
      </c>
      <c r="L64" s="748"/>
      <c r="M64" s="445"/>
      <c r="N64" s="445"/>
      <c r="O64" s="768"/>
      <c r="P64" s="814">
        <f>296.61+296.61</f>
        <v>593.22</v>
      </c>
    </row>
    <row r="65" spans="1:16" ht="47.25" hidden="1">
      <c r="A65" s="209" t="s">
        <v>780</v>
      </c>
      <c r="E65" s="714">
        <v>0</v>
      </c>
      <c r="F65" s="748"/>
      <c r="G65" s="445"/>
      <c r="H65" s="445"/>
      <c r="I65" s="445"/>
      <c r="J65" s="749"/>
      <c r="K65" s="759">
        <f>SUM(P65)</f>
        <v>596</v>
      </c>
      <c r="L65" s="748"/>
      <c r="M65" s="445"/>
      <c r="N65" s="445"/>
      <c r="O65" s="768"/>
      <c r="P65" s="814">
        <f>298+298</f>
        <v>596</v>
      </c>
    </row>
    <row r="66" spans="1:16" ht="31.5" hidden="1">
      <c r="A66" s="209" t="s">
        <v>781</v>
      </c>
      <c r="E66" s="714">
        <v>0</v>
      </c>
      <c r="F66" s="748"/>
      <c r="G66" s="445"/>
      <c r="H66" s="445"/>
      <c r="I66" s="445"/>
      <c r="J66" s="749"/>
      <c r="K66" s="759">
        <f>SUM(P66)</f>
        <v>298</v>
      </c>
      <c r="L66" s="748"/>
      <c r="M66" s="445"/>
      <c r="N66" s="445"/>
      <c r="O66" s="768"/>
      <c r="P66" s="814">
        <v>298</v>
      </c>
    </row>
    <row r="67" spans="1:16" ht="63" hidden="1">
      <c r="A67" s="209" t="s">
        <v>782</v>
      </c>
      <c r="E67" s="714">
        <v>0</v>
      </c>
      <c r="F67" s="748"/>
      <c r="G67" s="445"/>
      <c r="H67" s="445"/>
      <c r="I67" s="445"/>
      <c r="J67" s="749"/>
      <c r="K67" s="759">
        <f>SUM(P67)</f>
        <v>819.08</v>
      </c>
      <c r="L67" s="748"/>
      <c r="M67" s="445"/>
      <c r="N67" s="445"/>
      <c r="O67" s="768"/>
      <c r="P67" s="814">
        <v>819.08</v>
      </c>
    </row>
    <row r="68" spans="1:16" ht="31.5" hidden="1">
      <c r="A68" s="209" t="s">
        <v>766</v>
      </c>
      <c r="E68" s="714">
        <v>0</v>
      </c>
      <c r="F68" s="748"/>
      <c r="G68" s="445"/>
      <c r="H68" s="445"/>
      <c r="I68" s="445"/>
      <c r="J68" s="749"/>
      <c r="K68" s="759">
        <f t="shared" si="12"/>
        <v>95.25</v>
      </c>
      <c r="L68" s="748"/>
      <c r="M68" s="445"/>
      <c r="N68" s="445"/>
      <c r="O68" s="768"/>
      <c r="P68" s="814">
        <v>95.25</v>
      </c>
    </row>
    <row r="69" spans="1:16" ht="31.5" hidden="1">
      <c r="A69" s="209" t="s">
        <v>746</v>
      </c>
      <c r="E69" s="714">
        <v>0</v>
      </c>
      <c r="F69" s="748"/>
      <c r="G69" s="445"/>
      <c r="H69" s="445"/>
      <c r="I69" s="445"/>
      <c r="J69" s="749"/>
      <c r="K69" s="759">
        <f>SUM(P69)</f>
        <v>98.8</v>
      </c>
      <c r="L69" s="748"/>
      <c r="M69" s="445"/>
      <c r="N69" s="445"/>
      <c r="O69" s="768"/>
      <c r="P69" s="814">
        <v>98.8</v>
      </c>
    </row>
    <row r="70" spans="1:16" ht="47.25" hidden="1">
      <c r="A70" s="209" t="s">
        <v>747</v>
      </c>
      <c r="E70" s="714">
        <v>0</v>
      </c>
      <c r="F70" s="748"/>
      <c r="G70" s="445"/>
      <c r="H70" s="445"/>
      <c r="I70" s="445"/>
      <c r="J70" s="749"/>
      <c r="K70" s="759">
        <f>SUM(P70)</f>
        <v>20.53</v>
      </c>
      <c r="L70" s="748"/>
      <c r="M70" s="445"/>
      <c r="N70" s="445"/>
      <c r="O70" s="768"/>
      <c r="P70" s="814">
        <v>20.53</v>
      </c>
    </row>
    <row r="71" spans="1:16" ht="47.25" hidden="1">
      <c r="A71" s="209" t="s">
        <v>748</v>
      </c>
      <c r="E71" s="714">
        <v>0</v>
      </c>
      <c r="F71" s="748"/>
      <c r="G71" s="445"/>
      <c r="H71" s="445"/>
      <c r="I71" s="445"/>
      <c r="J71" s="749"/>
      <c r="K71" s="759">
        <f>SUM(P71)</f>
        <v>23.68</v>
      </c>
      <c r="L71" s="748"/>
      <c r="M71" s="445"/>
      <c r="N71" s="445"/>
      <c r="O71" s="768"/>
      <c r="P71" s="814">
        <v>23.68</v>
      </c>
    </row>
    <row r="72" spans="1:16" ht="63" hidden="1">
      <c r="A72" s="209" t="s">
        <v>784</v>
      </c>
      <c r="E72" s="714">
        <v>0</v>
      </c>
      <c r="F72" s="748"/>
      <c r="G72" s="445"/>
      <c r="H72" s="445"/>
      <c r="I72" s="445"/>
      <c r="J72" s="749"/>
      <c r="K72" s="759">
        <f>SUM(P72)</f>
        <v>11.56</v>
      </c>
      <c r="L72" s="748"/>
      <c r="M72" s="445"/>
      <c r="N72" s="445"/>
      <c r="O72" s="768"/>
      <c r="P72" s="814">
        <v>11.56</v>
      </c>
    </row>
    <row r="73" spans="1:16" ht="47.25" hidden="1">
      <c r="A73" s="209" t="s">
        <v>767</v>
      </c>
      <c r="E73" s="714">
        <v>0</v>
      </c>
      <c r="F73" s="748"/>
      <c r="G73" s="445"/>
      <c r="H73" s="445"/>
      <c r="I73" s="445"/>
      <c r="J73" s="749"/>
      <c r="K73" s="759">
        <f>SUM(P73)</f>
        <v>343.46</v>
      </c>
      <c r="L73" s="748"/>
      <c r="M73" s="445"/>
      <c r="N73" s="445"/>
      <c r="O73" s="768"/>
      <c r="P73" s="814">
        <v>343.46</v>
      </c>
    </row>
    <row r="74" spans="1:16" ht="47.25" hidden="1">
      <c r="A74" s="209" t="s">
        <v>768</v>
      </c>
      <c r="E74" s="714">
        <v>0</v>
      </c>
      <c r="F74" s="748"/>
      <c r="G74" s="445"/>
      <c r="H74" s="445"/>
      <c r="I74" s="445"/>
      <c r="J74" s="749"/>
      <c r="K74" s="759">
        <f aca="true" t="shared" si="13" ref="K74:K81">SUM(P74)</f>
        <v>50.57</v>
      </c>
      <c r="L74" s="748"/>
      <c r="M74" s="445"/>
      <c r="N74" s="445"/>
      <c r="O74" s="768"/>
      <c r="P74" s="814">
        <v>50.57</v>
      </c>
    </row>
    <row r="75" spans="1:16" ht="47.25" hidden="1">
      <c r="A75" s="209" t="s">
        <v>769</v>
      </c>
      <c r="E75" s="714">
        <v>0</v>
      </c>
      <c r="F75" s="748"/>
      <c r="G75" s="445"/>
      <c r="H75" s="445"/>
      <c r="I75" s="445"/>
      <c r="J75" s="749"/>
      <c r="K75" s="759">
        <f t="shared" si="13"/>
        <v>90.74</v>
      </c>
      <c r="L75" s="748"/>
      <c r="M75" s="445"/>
      <c r="N75" s="445"/>
      <c r="O75" s="768"/>
      <c r="P75" s="814">
        <v>90.74</v>
      </c>
    </row>
    <row r="76" spans="1:16" ht="47.25" hidden="1">
      <c r="A76" s="209" t="s">
        <v>770</v>
      </c>
      <c r="E76" s="714">
        <v>0</v>
      </c>
      <c r="F76" s="748"/>
      <c r="G76" s="445"/>
      <c r="H76" s="445"/>
      <c r="I76" s="445"/>
      <c r="J76" s="749"/>
      <c r="K76" s="759">
        <f t="shared" si="13"/>
        <v>25.07</v>
      </c>
      <c r="L76" s="748"/>
      <c r="M76" s="445"/>
      <c r="N76" s="445"/>
      <c r="O76" s="768"/>
      <c r="P76" s="814">
        <v>25.07</v>
      </c>
    </row>
    <row r="77" spans="1:16" ht="47.25" hidden="1">
      <c r="A77" s="209" t="s">
        <v>771</v>
      </c>
      <c r="E77" s="714">
        <v>0</v>
      </c>
      <c r="F77" s="748"/>
      <c r="G77" s="445"/>
      <c r="H77" s="445"/>
      <c r="I77" s="445"/>
      <c r="J77" s="749"/>
      <c r="K77" s="759">
        <f t="shared" si="13"/>
        <v>58.39</v>
      </c>
      <c r="L77" s="748"/>
      <c r="M77" s="445"/>
      <c r="N77" s="445"/>
      <c r="O77" s="768"/>
      <c r="P77" s="814">
        <v>58.39</v>
      </c>
    </row>
    <row r="78" spans="1:16" ht="47.25" hidden="1">
      <c r="A78" s="209" t="s">
        <v>772</v>
      </c>
      <c r="E78" s="714">
        <v>0</v>
      </c>
      <c r="F78" s="748"/>
      <c r="G78" s="445"/>
      <c r="H78" s="445"/>
      <c r="I78" s="445"/>
      <c r="J78" s="749"/>
      <c r="K78" s="759">
        <f t="shared" si="13"/>
        <v>57.06</v>
      </c>
      <c r="L78" s="748"/>
      <c r="M78" s="445"/>
      <c r="N78" s="445"/>
      <c r="O78" s="768"/>
      <c r="P78" s="814">
        <v>57.06</v>
      </c>
    </row>
    <row r="79" spans="1:16" ht="47.25" hidden="1">
      <c r="A79" s="209" t="s">
        <v>773</v>
      </c>
      <c r="E79" s="714">
        <v>0</v>
      </c>
      <c r="F79" s="748"/>
      <c r="G79" s="445"/>
      <c r="H79" s="445"/>
      <c r="I79" s="445"/>
      <c r="J79" s="749"/>
      <c r="K79" s="759">
        <f t="shared" si="13"/>
        <v>50.35</v>
      </c>
      <c r="L79" s="748"/>
      <c r="M79" s="445"/>
      <c r="N79" s="445"/>
      <c r="O79" s="768"/>
      <c r="P79" s="814">
        <v>50.35</v>
      </c>
    </row>
    <row r="80" spans="1:16" ht="47.25" hidden="1">
      <c r="A80" s="209" t="s">
        <v>774</v>
      </c>
      <c r="E80" s="714">
        <v>0</v>
      </c>
      <c r="F80" s="748"/>
      <c r="G80" s="445"/>
      <c r="H80" s="445"/>
      <c r="I80" s="445"/>
      <c r="J80" s="749"/>
      <c r="K80" s="759">
        <f t="shared" si="13"/>
        <v>58.85</v>
      </c>
      <c r="L80" s="748"/>
      <c r="M80" s="445"/>
      <c r="N80" s="445"/>
      <c r="O80" s="768"/>
      <c r="P80" s="814">
        <v>58.85</v>
      </c>
    </row>
    <row r="81" spans="1:16" ht="63" hidden="1">
      <c r="A81" s="209" t="s">
        <v>775</v>
      </c>
      <c r="E81" s="714">
        <v>0</v>
      </c>
      <c r="F81" s="748"/>
      <c r="G81" s="445"/>
      <c r="H81" s="445"/>
      <c r="I81" s="445"/>
      <c r="J81" s="749"/>
      <c r="K81" s="759">
        <f t="shared" si="13"/>
        <v>95.34</v>
      </c>
      <c r="L81" s="748"/>
      <c r="M81" s="445"/>
      <c r="N81" s="445"/>
      <c r="O81" s="768"/>
      <c r="P81" s="814">
        <v>95.34</v>
      </c>
    </row>
    <row r="86" spans="1:16" ht="18">
      <c r="A86" s="700"/>
      <c r="B86" s="700"/>
      <c r="C86" s="700"/>
      <c r="D86" s="700"/>
      <c r="E86" s="891" t="s">
        <v>339</v>
      </c>
      <c r="F86" s="892"/>
      <c r="G86" s="892"/>
      <c r="H86" s="892"/>
      <c r="I86" s="892"/>
      <c r="J86" s="893"/>
      <c r="K86" s="891" t="s">
        <v>340</v>
      </c>
      <c r="L86" s="892"/>
      <c r="M86" s="892"/>
      <c r="N86" s="892"/>
      <c r="O86" s="892"/>
      <c r="P86" s="893"/>
    </row>
    <row r="87" spans="1:16" ht="68.25" thickBot="1">
      <c r="A87" s="694" t="s">
        <v>382</v>
      </c>
      <c r="B87" s="695" t="s">
        <v>168</v>
      </c>
      <c r="C87" s="695" t="s">
        <v>169</v>
      </c>
      <c r="D87" s="696" t="s">
        <v>170</v>
      </c>
      <c r="E87" s="697" t="s">
        <v>309</v>
      </c>
      <c r="F87" s="698" t="s">
        <v>172</v>
      </c>
      <c r="G87" s="699" t="s">
        <v>383</v>
      </c>
      <c r="H87" s="698" t="s">
        <v>753</v>
      </c>
      <c r="I87" s="698" t="s">
        <v>751</v>
      </c>
      <c r="J87" s="702" t="s">
        <v>752</v>
      </c>
      <c r="K87" s="697" t="s">
        <v>309</v>
      </c>
      <c r="L87" s="698" t="s">
        <v>172</v>
      </c>
      <c r="M87" s="703" t="s">
        <v>753</v>
      </c>
      <c r="N87" s="703" t="s">
        <v>751</v>
      </c>
      <c r="O87" s="701" t="s">
        <v>752</v>
      </c>
      <c r="P87" s="702" t="s">
        <v>149</v>
      </c>
    </row>
    <row r="88" spans="1:16" ht="42.75">
      <c r="A88" s="515" t="s">
        <v>754</v>
      </c>
      <c r="B88" s="520" t="e">
        <f>SUM(C88:D88)</f>
        <v>#REF!</v>
      </c>
      <c r="C88" s="595" t="e">
        <f>SUM(#REF!)</f>
        <v>#REF!</v>
      </c>
      <c r="D88" s="527">
        <f>SUM(D89:D91)</f>
        <v>57977.789600000004</v>
      </c>
      <c r="E88" s="713">
        <f>SUM(F88:J88)</f>
        <v>49133.72</v>
      </c>
      <c r="F88" s="596">
        <f>SUM(F89:F91)</f>
        <v>0</v>
      </c>
      <c r="G88" s="596">
        <f>SUM(G89:G91)</f>
        <v>0</v>
      </c>
      <c r="H88" s="596">
        <f>SUM(H89:H91)</f>
        <v>0</v>
      </c>
      <c r="I88" s="596">
        <f>SUM(I89:I91)</f>
        <v>0</v>
      </c>
      <c r="J88" s="690">
        <f>SUM(J89:J91)</f>
        <v>49133.72</v>
      </c>
      <c r="K88" s="758">
        <f>SUM(K89:K109)</f>
        <v>49133.72</v>
      </c>
      <c r="L88" s="687">
        <f>SUM(L89:L91)</f>
        <v>0</v>
      </c>
      <c r="M88" s="690">
        <f>SUM(M89:M91)</f>
        <v>0</v>
      </c>
      <c r="N88" s="690">
        <f>SUM(N89:N91)</f>
        <v>0</v>
      </c>
      <c r="O88" s="761">
        <f>SUM(O89:O91)</f>
        <v>49133.72</v>
      </c>
      <c r="P88" s="780">
        <v>0</v>
      </c>
    </row>
    <row r="89" spans="1:16" ht="47.25">
      <c r="A89" s="209" t="s">
        <v>722</v>
      </c>
      <c r="B89" s="520">
        <f>SUM(C89:D89)</f>
        <v>35535.2988</v>
      </c>
      <c r="C89" s="529"/>
      <c r="D89" s="522">
        <f>J89*1.18</f>
        <v>35535.2988</v>
      </c>
      <c r="E89" s="714">
        <f>SUM(F89:J89)</f>
        <v>30114.66</v>
      </c>
      <c r="F89" s="748"/>
      <c r="G89" s="720"/>
      <c r="H89" s="720"/>
      <c r="I89" s="720"/>
      <c r="J89" s="779">
        <v>30114.66</v>
      </c>
      <c r="K89" s="759">
        <f>SUM(M89:O89)</f>
        <v>33453.38</v>
      </c>
      <c r="L89" s="748"/>
      <c r="M89" s="720"/>
      <c r="N89" s="720"/>
      <c r="O89" s="768">
        <f>32155.11+1298.27</f>
        <v>33453.38</v>
      </c>
      <c r="P89" s="445"/>
    </row>
    <row r="90" spans="1:16" ht="47.25">
      <c r="A90" s="209" t="s">
        <v>723</v>
      </c>
      <c r="B90" s="520">
        <f>SUM(C90:D90)</f>
        <v>17089.6568</v>
      </c>
      <c r="C90" s="529"/>
      <c r="D90" s="522">
        <f>J90*1.18</f>
        <v>17089.6568</v>
      </c>
      <c r="E90" s="714">
        <f>SUM(F90:J90)</f>
        <v>14482.76</v>
      </c>
      <c r="F90" s="748"/>
      <c r="G90" s="720"/>
      <c r="H90" s="720"/>
      <c r="I90" s="720"/>
      <c r="J90" s="779">
        <v>14482.76</v>
      </c>
      <c r="K90" s="759">
        <f>SUM(M90:O90)</f>
        <v>12274.59</v>
      </c>
      <c r="L90" s="748"/>
      <c r="M90" s="720"/>
      <c r="N90" s="720"/>
      <c r="O90" s="768">
        <f>13572.86-1298.27</f>
        <v>12274.59</v>
      </c>
      <c r="P90" s="445"/>
    </row>
    <row r="91" spans="1:16" ht="47.25">
      <c r="A91" s="209" t="s">
        <v>705</v>
      </c>
      <c r="B91" s="520">
        <f>SUM(C91:D91)</f>
        <v>5352.834</v>
      </c>
      <c r="C91" s="529"/>
      <c r="D91" s="522">
        <f>J91*1.18</f>
        <v>5352.834</v>
      </c>
      <c r="E91" s="714">
        <f>SUM(F91:J91)</f>
        <v>4536.3</v>
      </c>
      <c r="F91" s="748"/>
      <c r="G91" s="720"/>
      <c r="H91" s="720"/>
      <c r="I91" s="720"/>
      <c r="J91" s="779">
        <v>4536.3</v>
      </c>
      <c r="K91" s="759">
        <f>SUM(M91:O91)</f>
        <v>3405.75</v>
      </c>
      <c r="L91" s="748"/>
      <c r="M91" s="720"/>
      <c r="N91" s="720"/>
      <c r="O91" s="768">
        <v>3405.75</v>
      </c>
      <c r="P91" s="445"/>
    </row>
    <row r="92" spans="10:15" ht="15.75">
      <c r="J92" s="395"/>
      <c r="O92" s="395"/>
    </row>
    <row r="93" spans="10:15" ht="15.75">
      <c r="J93" s="395"/>
      <c r="O93" s="395"/>
    </row>
    <row r="94" spans="10:15" ht="15.75">
      <c r="J94" s="395"/>
      <c r="O94" s="395"/>
    </row>
    <row r="95" spans="10:15" ht="15.75">
      <c r="J95" s="395"/>
      <c r="O95" s="395"/>
    </row>
    <row r="96" spans="10:15" ht="15.75">
      <c r="J96" s="395"/>
      <c r="O96" s="395"/>
    </row>
    <row r="97" spans="10:15" ht="15.75">
      <c r="J97" s="395"/>
      <c r="O97" s="395"/>
    </row>
    <row r="98" spans="10:15" ht="15.75">
      <c r="J98" s="395"/>
      <c r="O98" s="395"/>
    </row>
    <row r="99" spans="10:16" ht="15.75">
      <c r="J99" s="395"/>
      <c r="L99" s="809"/>
      <c r="M99" s="801"/>
      <c r="N99" s="801"/>
      <c r="O99" s="801"/>
      <c r="P99" s="801"/>
    </row>
    <row r="100" spans="5:16" ht="16.5" thickBot="1">
      <c r="E100" s="803" t="s">
        <v>787</v>
      </c>
      <c r="L100" s="809"/>
      <c r="M100" s="801"/>
      <c r="N100" s="801"/>
      <c r="O100" s="801"/>
      <c r="P100" s="801"/>
    </row>
    <row r="101" spans="5:16" ht="16.5" thickBot="1">
      <c r="E101" s="787"/>
      <c r="F101" s="792" t="s">
        <v>339</v>
      </c>
      <c r="G101" s="783"/>
      <c r="H101" s="790" t="s">
        <v>776</v>
      </c>
      <c r="I101" s="791" t="s">
        <v>777</v>
      </c>
      <c r="K101" s="801"/>
      <c r="L101" s="801"/>
      <c r="M101" s="13"/>
      <c r="N101" s="801"/>
      <c r="O101" s="13"/>
      <c r="P101" s="13"/>
    </row>
    <row r="102" spans="5:16" ht="15.75">
      <c r="E102" s="796" t="s">
        <v>778</v>
      </c>
      <c r="F102" s="793">
        <f>H5</f>
        <v>47584.326</v>
      </c>
      <c r="G102" s="788"/>
      <c r="H102" s="789">
        <f>M5</f>
        <v>45404.41</v>
      </c>
      <c r="I102" s="799">
        <f>F102-H102</f>
        <v>2179.9159999999974</v>
      </c>
      <c r="K102" s="13"/>
      <c r="L102" s="13"/>
      <c r="M102" s="810"/>
      <c r="N102" s="810"/>
      <c r="O102" s="810"/>
      <c r="P102" s="810"/>
    </row>
    <row r="103" spans="5:16" ht="15.75">
      <c r="E103" s="797" t="s">
        <v>783</v>
      </c>
      <c r="F103" s="794">
        <f>I5</f>
        <v>34001.884</v>
      </c>
      <c r="G103" s="445"/>
      <c r="H103" s="784">
        <f>N5</f>
        <v>30855.850000000002</v>
      </c>
      <c r="I103" s="799">
        <f>F103-H103</f>
        <v>3146.033999999996</v>
      </c>
      <c r="K103" s="13"/>
      <c r="L103" s="13"/>
      <c r="M103" s="810"/>
      <c r="N103" s="810"/>
      <c r="O103" s="810"/>
      <c r="P103" s="810"/>
    </row>
    <row r="104" spans="5:16" ht="15.75">
      <c r="E104" s="797" t="s">
        <v>383</v>
      </c>
      <c r="F104" s="794">
        <f>J5</f>
        <v>10000</v>
      </c>
      <c r="G104" s="445"/>
      <c r="H104" s="784">
        <f>O5</f>
        <v>9999.996149999999</v>
      </c>
      <c r="I104" s="799">
        <f>F104-H104</f>
        <v>0.003850000000966247</v>
      </c>
      <c r="K104" s="13"/>
      <c r="L104" s="13"/>
      <c r="M104" s="810"/>
      <c r="N104" s="810"/>
      <c r="O104" s="810"/>
      <c r="P104" s="810"/>
    </row>
    <row r="105" spans="5:16" ht="15.75">
      <c r="E105" s="804"/>
      <c r="F105" s="805"/>
      <c r="G105" s="806"/>
      <c r="H105" s="807"/>
      <c r="I105" s="808"/>
      <c r="K105" s="802"/>
      <c r="L105" s="811"/>
      <c r="M105" s="812"/>
      <c r="N105" s="813"/>
      <c r="O105" s="810"/>
      <c r="P105" s="812"/>
    </row>
    <row r="106" spans="5:16" ht="16.5" thickBot="1">
      <c r="E106" s="786">
        <v>49133.72</v>
      </c>
      <c r="F106" s="795">
        <f>E88</f>
        <v>49133.72</v>
      </c>
      <c r="G106" s="782"/>
      <c r="H106" s="785">
        <f>O88</f>
        <v>49133.72</v>
      </c>
      <c r="I106" s="799">
        <f>F106-H106</f>
        <v>0</v>
      </c>
      <c r="K106" s="801"/>
      <c r="L106" s="801"/>
      <c r="M106" s="810"/>
      <c r="N106" s="810"/>
      <c r="O106" s="810"/>
      <c r="P106" s="810"/>
    </row>
    <row r="107" spans="5:16" ht="16.5" thickBot="1">
      <c r="E107" s="791" t="s">
        <v>652</v>
      </c>
      <c r="F107" s="798">
        <f>SUM(F102:F106)</f>
        <v>140719.93</v>
      </c>
      <c r="G107" s="783"/>
      <c r="H107" s="798">
        <f>SUM(H102:H104,H106)</f>
        <v>135393.97615</v>
      </c>
      <c r="I107" s="798">
        <f>SUM(I102:I104,I106)</f>
        <v>5325.953849999994</v>
      </c>
      <c r="K107" s="13"/>
      <c r="L107" s="13"/>
      <c r="M107" s="810"/>
      <c r="N107" s="810"/>
      <c r="O107" s="810"/>
      <c r="P107" s="810"/>
    </row>
    <row r="108" spans="12:16" ht="15.75">
      <c r="L108" s="801"/>
      <c r="M108" s="801"/>
      <c r="N108" s="801"/>
      <c r="O108" s="801"/>
      <c r="P108" s="801"/>
    </row>
    <row r="109" spans="12:16" ht="15.75">
      <c r="L109" s="801"/>
      <c r="M109" s="801"/>
      <c r="N109" s="801"/>
      <c r="O109" s="801"/>
      <c r="P109" s="801"/>
    </row>
    <row r="110" spans="5:16" ht="15.75">
      <c r="E110" s="803"/>
      <c r="L110" s="801"/>
      <c r="M110" s="801"/>
      <c r="N110" s="801"/>
      <c r="O110" s="801"/>
      <c r="P110" s="801"/>
    </row>
    <row r="111" spans="5:16" ht="15.75">
      <c r="E111" s="803"/>
      <c r="L111" s="801"/>
      <c r="M111" s="801"/>
      <c r="N111" s="801"/>
      <c r="O111" s="801"/>
      <c r="P111" s="801"/>
    </row>
    <row r="112" spans="5:16" ht="15.75">
      <c r="E112" s="801"/>
      <c r="F112" s="13"/>
      <c r="G112" s="801"/>
      <c r="H112" s="13"/>
      <c r="I112" s="13"/>
      <c r="L112" s="801"/>
      <c r="M112" s="801"/>
      <c r="N112" s="801"/>
      <c r="O112" s="801"/>
      <c r="P112" s="801"/>
    </row>
    <row r="113" spans="5:16" ht="15.75">
      <c r="E113" s="13"/>
      <c r="F113" s="810"/>
      <c r="G113" s="801"/>
      <c r="H113" s="810"/>
      <c r="I113" s="810"/>
      <c r="L113" s="801"/>
      <c r="M113" s="801"/>
      <c r="N113" s="801"/>
      <c r="O113" s="801"/>
      <c r="P113" s="801"/>
    </row>
    <row r="114" spans="5:16" ht="15.75">
      <c r="E114" s="13"/>
      <c r="F114" s="810"/>
      <c r="G114" s="801"/>
      <c r="H114" s="810"/>
      <c r="I114" s="810"/>
      <c r="L114" s="801"/>
      <c r="M114" s="801"/>
      <c r="N114" s="801"/>
      <c r="O114" s="801"/>
      <c r="P114" s="801"/>
    </row>
    <row r="115" spans="5:16" ht="15.75">
      <c r="E115" s="13"/>
      <c r="F115" s="810"/>
      <c r="G115" s="801"/>
      <c r="H115" s="810"/>
      <c r="I115" s="810"/>
      <c r="L115" s="809"/>
      <c r="M115" s="801"/>
      <c r="N115" s="801"/>
      <c r="O115" s="801"/>
      <c r="P115" s="801"/>
    </row>
    <row r="116" spans="5:16" ht="15.75">
      <c r="E116" s="811"/>
      <c r="F116" s="812"/>
      <c r="G116" s="813"/>
      <c r="H116" s="812"/>
      <c r="I116" s="812"/>
      <c r="L116" s="801"/>
      <c r="M116" s="13"/>
      <c r="N116" s="801"/>
      <c r="O116" s="13"/>
      <c r="P116" s="13"/>
    </row>
    <row r="117" spans="5:16" ht="15.75">
      <c r="E117" s="801"/>
      <c r="F117" s="810"/>
      <c r="G117" s="801"/>
      <c r="H117" s="810"/>
      <c r="I117" s="810"/>
      <c r="L117" s="13"/>
      <c r="M117" s="810"/>
      <c r="N117" s="801"/>
      <c r="O117" s="810"/>
      <c r="P117" s="810"/>
    </row>
    <row r="118" spans="5:16" ht="15.75">
      <c r="E118" s="13"/>
      <c r="F118" s="810"/>
      <c r="G118" s="801"/>
      <c r="H118" s="810"/>
      <c r="I118" s="810"/>
      <c r="L118" s="13"/>
      <c r="M118" s="810"/>
      <c r="N118" s="801"/>
      <c r="O118" s="810"/>
      <c r="P118" s="810"/>
    </row>
    <row r="119" spans="12:16" ht="15.75">
      <c r="L119" s="13"/>
      <c r="M119" s="810"/>
      <c r="N119" s="801"/>
      <c r="O119" s="810"/>
      <c r="P119" s="810"/>
    </row>
    <row r="120" spans="12:16" ht="15.75">
      <c r="L120" s="811"/>
      <c r="M120" s="812"/>
      <c r="N120" s="813"/>
      <c r="O120" s="812"/>
      <c r="P120" s="810"/>
    </row>
    <row r="121" spans="12:16" ht="15.75">
      <c r="L121" s="801"/>
      <c r="M121" s="810"/>
      <c r="N121" s="801"/>
      <c r="O121" s="810"/>
      <c r="P121" s="810"/>
    </row>
    <row r="122" spans="12:16" ht="15.75">
      <c r="L122" s="13"/>
      <c r="M122" s="810"/>
      <c r="N122" s="801"/>
      <c r="O122" s="810"/>
      <c r="P122" s="810"/>
    </row>
    <row r="123" spans="12:16" ht="15.75">
      <c r="L123" s="801"/>
      <c r="M123" s="801"/>
      <c r="N123" s="801"/>
      <c r="O123" s="801"/>
      <c r="P123" s="801"/>
    </row>
    <row r="124" spans="12:16" ht="15.75">
      <c r="L124" s="801"/>
      <c r="M124" s="801"/>
      <c r="N124" s="801"/>
      <c r="O124" s="801"/>
      <c r="P124" s="801"/>
    </row>
    <row r="125" spans="12:16" ht="15.75">
      <c r="L125" s="818"/>
      <c r="M125" s="801"/>
      <c r="N125" s="801"/>
      <c r="O125" s="801"/>
      <c r="P125" s="801"/>
    </row>
    <row r="126" spans="12:16" ht="15.75">
      <c r="L126" s="809"/>
      <c r="M126" s="801"/>
      <c r="N126" s="801"/>
      <c r="O126" s="801"/>
      <c r="P126" s="801"/>
    </row>
    <row r="127" spans="12:16" ht="15.75">
      <c r="L127" s="801"/>
      <c r="M127" s="13"/>
      <c r="N127" s="801"/>
      <c r="O127" s="13"/>
      <c r="P127" s="13"/>
    </row>
    <row r="128" spans="12:16" ht="15.75">
      <c r="L128" s="13"/>
      <c r="M128" s="810"/>
      <c r="N128" s="801"/>
      <c r="O128" s="810"/>
      <c r="P128" s="810"/>
    </row>
    <row r="129" spans="12:16" ht="15.75">
      <c r="L129" s="13"/>
      <c r="M129" s="810"/>
      <c r="N129" s="801"/>
      <c r="O129" s="810"/>
      <c r="P129" s="810"/>
    </row>
    <row r="130" spans="12:16" ht="15.75">
      <c r="L130" s="13"/>
      <c r="M130" s="810"/>
      <c r="N130" s="801"/>
      <c r="O130" s="810"/>
      <c r="P130" s="810"/>
    </row>
    <row r="131" spans="12:16" ht="15.75">
      <c r="L131" s="811"/>
      <c r="M131" s="812"/>
      <c r="N131" s="813"/>
      <c r="O131" s="812"/>
      <c r="P131" s="810"/>
    </row>
    <row r="132" spans="12:16" ht="15.75">
      <c r="L132" s="811"/>
      <c r="M132" s="812"/>
      <c r="N132" s="813"/>
      <c r="O132" s="812"/>
      <c r="P132" s="810"/>
    </row>
    <row r="133" spans="12:16" ht="15.75">
      <c r="L133" s="801"/>
      <c r="M133" s="810"/>
      <c r="N133" s="801"/>
      <c r="O133" s="810"/>
      <c r="P133" s="810"/>
    </row>
    <row r="134" spans="12:16" ht="15.75">
      <c r="L134" s="13"/>
      <c r="M134" s="810"/>
      <c r="N134" s="801"/>
      <c r="O134" s="810"/>
      <c r="P134" s="810"/>
    </row>
    <row r="135" spans="12:16" ht="15.75">
      <c r="L135" s="801"/>
      <c r="M135" s="801"/>
      <c r="N135" s="801"/>
      <c r="O135" s="801"/>
      <c r="P135" s="801"/>
    </row>
  </sheetData>
  <sheetProtection/>
  <protectedRanges>
    <protectedRange sqref="A33" name="Диапазон1_91_6_5_3"/>
    <protectedRange sqref="A30" name="Диапазон1_91_2_2_2_3"/>
  </protectedRanges>
  <mergeCells count="5">
    <mergeCell ref="A1:O2"/>
    <mergeCell ref="E3:J3"/>
    <mergeCell ref="K3:P3"/>
    <mergeCell ref="E86:J86"/>
    <mergeCell ref="K86:P86"/>
  </mergeCells>
  <printOptions/>
  <pageMargins left="0.5905511811023623" right="0" top="0.1968503937007874" bottom="0.1968503937007874" header="0" footer="0"/>
  <pageSetup fitToHeight="0" fitToWidth="1"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118"/>
  <sheetViews>
    <sheetView view="pageBreakPreview" zoomScale="70" zoomScaleNormal="60" zoomScaleSheetLayoutView="70" zoomScalePageLayoutView="0" workbookViewId="0" topLeftCell="A4">
      <selection activeCell="M55" sqref="M55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5:10" ht="15.75">
      <c r="E1" s="4"/>
      <c r="J1" s="4"/>
    </row>
    <row r="2" ht="15.75">
      <c r="F2" s="4" t="s">
        <v>500</v>
      </c>
    </row>
    <row r="3" ht="15.75">
      <c r="F3" s="4" t="s">
        <v>292</v>
      </c>
    </row>
    <row r="4" ht="15.75">
      <c r="F4" s="4" t="s">
        <v>71</v>
      </c>
    </row>
    <row r="5" ht="15.75">
      <c r="F5" s="4"/>
    </row>
    <row r="6" spans="1:6" ht="54.75" customHeight="1">
      <c r="A6" s="976" t="s">
        <v>18</v>
      </c>
      <c r="B6" s="903"/>
      <c r="C6" s="903"/>
      <c r="D6" s="903"/>
      <c r="E6" s="903"/>
      <c r="F6" s="903"/>
    </row>
    <row r="7" spans="1:6" ht="15.75">
      <c r="A7" s="195"/>
      <c r="B7" s="195"/>
      <c r="C7" s="195"/>
      <c r="D7" s="195"/>
      <c r="E7" s="195"/>
      <c r="F7" s="195"/>
    </row>
    <row r="8" spans="1:6" ht="15.75">
      <c r="A8" s="511" t="s">
        <v>154</v>
      </c>
      <c r="B8" s="512"/>
      <c r="F8" s="4" t="s">
        <v>293</v>
      </c>
    </row>
    <row r="9" spans="1:6" ht="15.75">
      <c r="A9" s="929" t="s">
        <v>155</v>
      </c>
      <c r="B9" s="929"/>
      <c r="F9" s="4" t="s">
        <v>568</v>
      </c>
    </row>
    <row r="10" spans="1:6" ht="15.75">
      <c r="A10" s="511" t="s">
        <v>156</v>
      </c>
      <c r="B10" s="512"/>
      <c r="F10" s="4" t="s">
        <v>569</v>
      </c>
    </row>
    <row r="11" spans="1:6" ht="15.75">
      <c r="A11" s="511" t="s">
        <v>44</v>
      </c>
      <c r="B11" s="512"/>
      <c r="F11" s="270" t="s">
        <v>19</v>
      </c>
    </row>
    <row r="12" spans="1:6" ht="18" customHeight="1">
      <c r="A12" s="511" t="s">
        <v>45</v>
      </c>
      <c r="B12" s="512"/>
      <c r="F12" s="307" t="s">
        <v>69</v>
      </c>
    </row>
    <row r="13" spans="1:6" ht="20.25" customHeight="1">
      <c r="A13" s="511" t="s">
        <v>46</v>
      </c>
      <c r="B13" s="592"/>
      <c r="F13" s="4" t="s">
        <v>294</v>
      </c>
    </row>
    <row r="14" ht="16.5" thickBot="1"/>
    <row r="15" spans="1:6" ht="15.75" customHeight="1">
      <c r="A15" s="1009" t="s">
        <v>609</v>
      </c>
      <c r="B15" s="1006" t="s">
        <v>661</v>
      </c>
      <c r="C15" s="1004" t="s">
        <v>651</v>
      </c>
      <c r="D15" s="922"/>
      <c r="E15" s="1004" t="s">
        <v>138</v>
      </c>
      <c r="F15" s="1005"/>
    </row>
    <row r="16" spans="1:6" ht="15.75" customHeight="1">
      <c r="A16" s="1010"/>
      <c r="B16" s="1007"/>
      <c r="C16" s="15" t="s">
        <v>135</v>
      </c>
      <c r="D16" s="15" t="s">
        <v>633</v>
      </c>
      <c r="E16" s="15" t="s">
        <v>135</v>
      </c>
      <c r="F16" s="197" t="s">
        <v>633</v>
      </c>
    </row>
    <row r="17" spans="1:6" ht="15.75" customHeight="1">
      <c r="A17" s="1011"/>
      <c r="B17" s="1008"/>
      <c r="C17" s="15" t="s">
        <v>662</v>
      </c>
      <c r="D17" s="15" t="s">
        <v>662</v>
      </c>
      <c r="E17" s="15" t="s">
        <v>662</v>
      </c>
      <c r="F17" s="197" t="s">
        <v>662</v>
      </c>
    </row>
    <row r="18" spans="1:6" ht="15.75">
      <c r="A18" s="200">
        <v>1</v>
      </c>
      <c r="B18" s="199">
        <v>2</v>
      </c>
      <c r="C18" s="201">
        <v>3</v>
      </c>
      <c r="D18" s="201">
        <v>4</v>
      </c>
      <c r="E18" s="201">
        <v>5</v>
      </c>
      <c r="F18" s="202">
        <v>6</v>
      </c>
    </row>
    <row r="19" spans="1:10" ht="31.5">
      <c r="A19" s="344">
        <v>1</v>
      </c>
      <c r="B19" s="5" t="s">
        <v>579</v>
      </c>
      <c r="C19" s="320" t="s">
        <v>21</v>
      </c>
      <c r="D19" s="320" t="s">
        <v>21</v>
      </c>
      <c r="E19" s="320" t="s">
        <v>21</v>
      </c>
      <c r="F19" s="320" t="s">
        <v>21</v>
      </c>
      <c r="G19" s="82"/>
      <c r="H19" s="82"/>
      <c r="I19" s="82"/>
      <c r="J19" s="13"/>
    </row>
    <row r="20" spans="1:6" ht="31.5">
      <c r="A20" s="320">
        <v>2</v>
      </c>
      <c r="B20" s="5" t="s">
        <v>666</v>
      </c>
      <c r="C20" s="320" t="s">
        <v>34</v>
      </c>
      <c r="D20" s="320" t="s">
        <v>34</v>
      </c>
      <c r="E20" s="320" t="s">
        <v>34</v>
      </c>
      <c r="F20" s="320" t="s">
        <v>34</v>
      </c>
    </row>
    <row r="21" spans="1:6" ht="31.5">
      <c r="A21" s="320">
        <v>3</v>
      </c>
      <c r="B21" s="5" t="s">
        <v>580</v>
      </c>
      <c r="C21" s="320" t="s">
        <v>22</v>
      </c>
      <c r="D21" s="320" t="s">
        <v>22</v>
      </c>
      <c r="E21" s="320" t="s">
        <v>22</v>
      </c>
      <c r="F21" s="320" t="s">
        <v>22</v>
      </c>
    </row>
    <row r="22" spans="1:6" ht="47.25">
      <c r="A22" s="344">
        <v>4</v>
      </c>
      <c r="B22" s="5" t="s">
        <v>581</v>
      </c>
      <c r="C22" s="320" t="s">
        <v>23</v>
      </c>
      <c r="D22" s="320" t="s">
        <v>23</v>
      </c>
      <c r="E22" s="320" t="s">
        <v>23</v>
      </c>
      <c r="F22" s="320" t="s">
        <v>23</v>
      </c>
    </row>
    <row r="23" spans="1:6" ht="47.25">
      <c r="A23" s="320">
        <v>5</v>
      </c>
      <c r="B23" s="5" t="s">
        <v>582</v>
      </c>
      <c r="C23" s="320" t="s">
        <v>24</v>
      </c>
      <c r="D23" s="320" t="s">
        <v>24</v>
      </c>
      <c r="E23" s="320" t="s">
        <v>24</v>
      </c>
      <c r="F23" s="320" t="s">
        <v>24</v>
      </c>
    </row>
    <row r="24" spans="1:6" ht="47.25">
      <c r="A24" s="320">
        <v>6</v>
      </c>
      <c r="B24" s="5" t="s">
        <v>583</v>
      </c>
      <c r="C24" s="320" t="s">
        <v>25</v>
      </c>
      <c r="D24" s="320" t="s">
        <v>25</v>
      </c>
      <c r="E24" s="320" t="s">
        <v>25</v>
      </c>
      <c r="F24" s="320" t="s">
        <v>25</v>
      </c>
    </row>
    <row r="25" spans="1:6" ht="47.25">
      <c r="A25" s="344">
        <v>7</v>
      </c>
      <c r="B25" s="5" t="s">
        <v>584</v>
      </c>
      <c r="C25" s="320" t="s">
        <v>439</v>
      </c>
      <c r="D25" s="320" t="s">
        <v>439</v>
      </c>
      <c r="E25" s="320" t="s">
        <v>439</v>
      </c>
      <c r="F25" s="320" t="s">
        <v>439</v>
      </c>
    </row>
    <row r="26" spans="1:6" ht="47.25">
      <c r="A26" s="320">
        <v>8</v>
      </c>
      <c r="B26" s="5" t="s">
        <v>585</v>
      </c>
      <c r="C26" s="320" t="s">
        <v>440</v>
      </c>
      <c r="D26" s="320" t="s">
        <v>440</v>
      </c>
      <c r="E26" s="320" t="s">
        <v>440</v>
      </c>
      <c r="F26" s="320" t="s">
        <v>440</v>
      </c>
    </row>
    <row r="27" spans="1:6" ht="63">
      <c r="A27" s="320">
        <v>9</v>
      </c>
      <c r="B27" s="5" t="s">
        <v>586</v>
      </c>
      <c r="C27" s="320" t="s">
        <v>26</v>
      </c>
      <c r="D27" s="320" t="s">
        <v>26</v>
      </c>
      <c r="E27" s="320" t="s">
        <v>26</v>
      </c>
      <c r="F27" s="320" t="s">
        <v>26</v>
      </c>
    </row>
    <row r="28" spans="1:6" ht="47.25">
      <c r="A28" s="344">
        <v>10</v>
      </c>
      <c r="B28" s="5" t="s">
        <v>587</v>
      </c>
      <c r="C28" s="320" t="s">
        <v>27</v>
      </c>
      <c r="D28" s="320" t="s">
        <v>27</v>
      </c>
      <c r="E28" s="320" t="s">
        <v>27</v>
      </c>
      <c r="F28" s="320" t="s">
        <v>27</v>
      </c>
    </row>
    <row r="29" spans="1:6" ht="47.25">
      <c r="A29" s="320">
        <v>11</v>
      </c>
      <c r="B29" s="5" t="s">
        <v>667</v>
      </c>
      <c r="C29" s="320" t="s">
        <v>737</v>
      </c>
      <c r="D29" s="320" t="s">
        <v>737</v>
      </c>
      <c r="E29" s="320" t="s">
        <v>737</v>
      </c>
      <c r="F29" s="320" t="s">
        <v>737</v>
      </c>
    </row>
    <row r="30" spans="1:6" ht="47.25">
      <c r="A30" s="320">
        <v>12</v>
      </c>
      <c r="B30" s="5" t="s">
        <v>588</v>
      </c>
      <c r="C30" s="320" t="s">
        <v>28</v>
      </c>
      <c r="D30" s="320" t="s">
        <v>28</v>
      </c>
      <c r="E30" s="320" t="s">
        <v>28</v>
      </c>
      <c r="F30" s="320" t="s">
        <v>28</v>
      </c>
    </row>
    <row r="31" spans="1:6" ht="47.25">
      <c r="A31" s="344">
        <v>13</v>
      </c>
      <c r="B31" s="5" t="s">
        <v>589</v>
      </c>
      <c r="C31" s="320" t="s">
        <v>736</v>
      </c>
      <c r="D31" s="320" t="s">
        <v>736</v>
      </c>
      <c r="E31" s="320" t="s">
        <v>736</v>
      </c>
      <c r="F31" s="320" t="s">
        <v>736</v>
      </c>
    </row>
    <row r="32" spans="1:6" ht="31.5">
      <c r="A32" s="320">
        <v>14</v>
      </c>
      <c r="B32" s="5" t="s">
        <v>668</v>
      </c>
      <c r="C32" s="320" t="s">
        <v>738</v>
      </c>
      <c r="D32" s="320" t="s">
        <v>738</v>
      </c>
      <c r="E32" s="320" t="s">
        <v>738</v>
      </c>
      <c r="F32" s="320" t="s">
        <v>738</v>
      </c>
    </row>
    <row r="33" spans="1:6" ht="63">
      <c r="A33" s="320">
        <v>15</v>
      </c>
      <c r="B33" s="5" t="s">
        <v>590</v>
      </c>
      <c r="C33" s="320" t="s">
        <v>533</v>
      </c>
      <c r="D33" s="320" t="s">
        <v>533</v>
      </c>
      <c r="E33" s="320" t="s">
        <v>533</v>
      </c>
      <c r="F33" s="320" t="s">
        <v>533</v>
      </c>
    </row>
    <row r="34" spans="1:6" ht="47.25">
      <c r="A34" s="344">
        <v>16</v>
      </c>
      <c r="B34" s="5" t="s">
        <v>599</v>
      </c>
      <c r="C34" s="344" t="s">
        <v>29</v>
      </c>
      <c r="D34" s="344" t="s">
        <v>29</v>
      </c>
      <c r="E34" s="344" t="s">
        <v>29</v>
      </c>
      <c r="F34" s="344" t="s">
        <v>29</v>
      </c>
    </row>
    <row r="35" spans="1:6" ht="47.25">
      <c r="A35" s="320">
        <v>17</v>
      </c>
      <c r="B35" s="5" t="s">
        <v>669</v>
      </c>
      <c r="C35" s="320"/>
      <c r="D35" s="320"/>
      <c r="E35" s="320"/>
      <c r="F35" s="320"/>
    </row>
    <row r="36" spans="1:6" ht="94.5">
      <c r="A36" s="320">
        <v>18</v>
      </c>
      <c r="B36" s="5" t="s">
        <v>670</v>
      </c>
      <c r="C36" s="320" t="s">
        <v>533</v>
      </c>
      <c r="D36" s="320" t="s">
        <v>533</v>
      </c>
      <c r="E36" s="320" t="s">
        <v>533</v>
      </c>
      <c r="F36" s="320" t="s">
        <v>533</v>
      </c>
    </row>
    <row r="37" spans="1:6" ht="31.5">
      <c r="A37" s="344">
        <v>19</v>
      </c>
      <c r="B37" s="5" t="s">
        <v>671</v>
      </c>
      <c r="C37" s="320"/>
      <c r="D37" s="320"/>
      <c r="E37" s="320"/>
      <c r="F37" s="320"/>
    </row>
    <row r="38" spans="1:6" ht="63">
      <c r="A38" s="320">
        <v>20</v>
      </c>
      <c r="B38" s="5" t="s">
        <v>591</v>
      </c>
      <c r="C38" s="320" t="s">
        <v>533</v>
      </c>
      <c r="D38" s="320" t="s">
        <v>533</v>
      </c>
      <c r="E38" s="320" t="s">
        <v>533</v>
      </c>
      <c r="F38" s="320" t="s">
        <v>533</v>
      </c>
    </row>
    <row r="39" spans="1:6" ht="47.25">
      <c r="A39" s="344">
        <v>21</v>
      </c>
      <c r="B39" s="5" t="s">
        <v>672</v>
      </c>
      <c r="C39" s="320" t="s">
        <v>48</v>
      </c>
      <c r="D39" s="320" t="s">
        <v>48</v>
      </c>
      <c r="E39" s="320" t="s">
        <v>48</v>
      </c>
      <c r="F39" s="320" t="s">
        <v>48</v>
      </c>
    </row>
    <row r="40" spans="1:6" ht="47.25">
      <c r="A40" s="320">
        <v>22</v>
      </c>
      <c r="B40" s="5" t="s">
        <v>0</v>
      </c>
      <c r="C40" s="320" t="s">
        <v>534</v>
      </c>
      <c r="D40" s="320" t="s">
        <v>534</v>
      </c>
      <c r="E40" s="320" t="s">
        <v>534</v>
      </c>
      <c r="F40" s="320" t="s">
        <v>534</v>
      </c>
    </row>
    <row r="41" spans="1:6" ht="31.5">
      <c r="A41" s="320">
        <v>23</v>
      </c>
      <c r="B41" s="5" t="s">
        <v>1</v>
      </c>
      <c r="C41" s="320" t="s">
        <v>534</v>
      </c>
      <c r="D41" s="320" t="s">
        <v>534</v>
      </c>
      <c r="E41" s="320" t="s">
        <v>534</v>
      </c>
      <c r="F41" s="320" t="s">
        <v>534</v>
      </c>
    </row>
    <row r="42" spans="1:6" ht="31.5">
      <c r="A42" s="344">
        <v>24</v>
      </c>
      <c r="B42" s="5" t="s">
        <v>2</v>
      </c>
      <c r="C42" s="320" t="s">
        <v>471</v>
      </c>
      <c r="D42" s="320" t="s">
        <v>471</v>
      </c>
      <c r="E42" s="320" t="s">
        <v>471</v>
      </c>
      <c r="F42" s="320" t="s">
        <v>471</v>
      </c>
    </row>
    <row r="43" spans="1:6" ht="31.5">
      <c r="A43" s="320">
        <v>25</v>
      </c>
      <c r="B43" s="5" t="s">
        <v>3</v>
      </c>
      <c r="C43" s="320" t="s">
        <v>534</v>
      </c>
      <c r="D43" s="320" t="s">
        <v>534</v>
      </c>
      <c r="E43" s="320" t="s">
        <v>534</v>
      </c>
      <c r="F43" s="320" t="s">
        <v>534</v>
      </c>
    </row>
    <row r="44" spans="1:6" ht="31.5">
      <c r="A44" s="320">
        <v>26</v>
      </c>
      <c r="B44" s="5" t="s">
        <v>592</v>
      </c>
      <c r="C44" s="320" t="s">
        <v>471</v>
      </c>
      <c r="D44" s="320" t="s">
        <v>471</v>
      </c>
      <c r="E44" s="320" t="s">
        <v>471</v>
      </c>
      <c r="F44" s="320" t="s">
        <v>471</v>
      </c>
    </row>
    <row r="45" spans="1:6" ht="15.75">
      <c r="A45" s="320">
        <v>27</v>
      </c>
      <c r="B45" s="5" t="s">
        <v>593</v>
      </c>
      <c r="C45" s="320" t="s">
        <v>598</v>
      </c>
      <c r="D45" s="320" t="s">
        <v>598</v>
      </c>
      <c r="E45" s="320" t="s">
        <v>598</v>
      </c>
      <c r="F45" s="320" t="s">
        <v>598</v>
      </c>
    </row>
    <row r="46" spans="1:6" ht="31.5">
      <c r="A46" s="320">
        <v>28</v>
      </c>
      <c r="B46" s="5" t="s">
        <v>4</v>
      </c>
      <c r="C46" s="320" t="s">
        <v>598</v>
      </c>
      <c r="D46" s="320" t="s">
        <v>598</v>
      </c>
      <c r="E46" s="320" t="s">
        <v>598</v>
      </c>
      <c r="F46" s="320" t="s">
        <v>598</v>
      </c>
    </row>
    <row r="47" spans="1:6" ht="31.5">
      <c r="A47" s="320">
        <v>29</v>
      </c>
      <c r="B47" s="5" t="s">
        <v>5</v>
      </c>
      <c r="C47" s="320" t="s">
        <v>598</v>
      </c>
      <c r="D47" s="320" t="s">
        <v>598</v>
      </c>
      <c r="E47" s="320" t="s">
        <v>598</v>
      </c>
      <c r="F47" s="320" t="s">
        <v>598</v>
      </c>
    </row>
    <row r="48" spans="1:6" ht="31.5">
      <c r="A48" s="320">
        <v>30</v>
      </c>
      <c r="B48" s="5" t="s">
        <v>6</v>
      </c>
      <c r="C48" s="320" t="s">
        <v>598</v>
      </c>
      <c r="D48" s="320" t="s">
        <v>598</v>
      </c>
      <c r="E48" s="320" t="s">
        <v>598</v>
      </c>
      <c r="F48" s="320" t="s">
        <v>598</v>
      </c>
    </row>
    <row r="49" spans="1:6" ht="31.5">
      <c r="A49" s="320">
        <v>31</v>
      </c>
      <c r="B49" s="5" t="s">
        <v>594</v>
      </c>
      <c r="C49" s="320" t="s">
        <v>598</v>
      </c>
      <c r="D49" s="320" t="s">
        <v>598</v>
      </c>
      <c r="E49" s="320" t="s">
        <v>598</v>
      </c>
      <c r="F49" s="320" t="s">
        <v>598</v>
      </c>
    </row>
    <row r="50" spans="1:6" ht="31.5">
      <c r="A50" s="320">
        <v>32</v>
      </c>
      <c r="B50" s="5" t="s">
        <v>7</v>
      </c>
      <c r="C50" s="320" t="s">
        <v>598</v>
      </c>
      <c r="D50" s="320" t="s">
        <v>598</v>
      </c>
      <c r="E50" s="320" t="s">
        <v>598</v>
      </c>
      <c r="F50" s="320" t="s">
        <v>598</v>
      </c>
    </row>
    <row r="51" spans="1:6" ht="31.5">
      <c r="A51" s="320">
        <v>33</v>
      </c>
      <c r="B51" s="5" t="s">
        <v>602</v>
      </c>
      <c r="C51" s="320" t="s">
        <v>598</v>
      </c>
      <c r="D51" s="320" t="s">
        <v>598</v>
      </c>
      <c r="E51" s="320" t="s">
        <v>598</v>
      </c>
      <c r="F51" s="320" t="s">
        <v>598</v>
      </c>
    </row>
    <row r="52" spans="1:6" ht="88.5" customHeight="1">
      <c r="A52" s="320">
        <v>34</v>
      </c>
      <c r="B52" s="5" t="s">
        <v>595</v>
      </c>
      <c r="C52" s="320" t="s">
        <v>30</v>
      </c>
      <c r="D52" s="320" t="s">
        <v>30</v>
      </c>
      <c r="E52" s="320" t="s">
        <v>30</v>
      </c>
      <c r="F52" s="320" t="s">
        <v>30</v>
      </c>
    </row>
    <row r="53" spans="1:6" ht="54.75" customHeight="1">
      <c r="A53" s="344">
        <v>35</v>
      </c>
      <c r="B53" s="5" t="s">
        <v>8</v>
      </c>
      <c r="C53" s="320" t="s">
        <v>31</v>
      </c>
      <c r="D53" s="320" t="s">
        <v>31</v>
      </c>
      <c r="E53" s="320" t="s">
        <v>31</v>
      </c>
      <c r="F53" s="320" t="s">
        <v>31</v>
      </c>
    </row>
    <row r="54" spans="1:6" ht="68.25" customHeight="1">
      <c r="A54" s="320">
        <v>36</v>
      </c>
      <c r="B54" s="5" t="s">
        <v>604</v>
      </c>
      <c r="C54" s="320" t="s">
        <v>739</v>
      </c>
      <c r="D54" s="320" t="s">
        <v>739</v>
      </c>
      <c r="E54" s="320" t="s">
        <v>739</v>
      </c>
      <c r="F54" s="320" t="s">
        <v>739</v>
      </c>
    </row>
    <row r="55" spans="1:6" ht="100.5" customHeight="1">
      <c r="A55" s="344">
        <v>37</v>
      </c>
      <c r="B55" s="5" t="s">
        <v>603</v>
      </c>
      <c r="C55" s="320" t="s">
        <v>33</v>
      </c>
      <c r="D55" s="320" t="s">
        <v>33</v>
      </c>
      <c r="E55" s="320" t="s">
        <v>33</v>
      </c>
      <c r="F55" s="320" t="s">
        <v>33</v>
      </c>
    </row>
    <row r="56" spans="1:6" ht="52.5" customHeight="1">
      <c r="A56" s="320">
        <v>38</v>
      </c>
      <c r="B56" s="5" t="s">
        <v>9</v>
      </c>
      <c r="C56" s="320" t="s">
        <v>32</v>
      </c>
      <c r="D56" s="320" t="s">
        <v>32</v>
      </c>
      <c r="E56" s="320" t="s">
        <v>32</v>
      </c>
      <c r="F56" s="320" t="s">
        <v>32</v>
      </c>
    </row>
    <row r="57" spans="1:6" ht="63">
      <c r="A57" s="344">
        <v>39</v>
      </c>
      <c r="B57" s="5" t="s">
        <v>10</v>
      </c>
      <c r="C57" s="320" t="s">
        <v>740</v>
      </c>
      <c r="D57" s="320" t="s">
        <v>740</v>
      </c>
      <c r="E57" s="320" t="s">
        <v>740</v>
      </c>
      <c r="F57" s="320" t="s">
        <v>740</v>
      </c>
    </row>
    <row r="58" spans="1:6" ht="31.5">
      <c r="A58" s="578">
        <v>40</v>
      </c>
      <c r="B58" s="12" t="s">
        <v>596</v>
      </c>
      <c r="C58" s="578" t="s">
        <v>31</v>
      </c>
      <c r="D58" s="578" t="s">
        <v>31</v>
      </c>
      <c r="E58" s="578" t="s">
        <v>31</v>
      </c>
      <c r="F58" s="578" t="s">
        <v>31</v>
      </c>
    </row>
    <row r="59" spans="1:6" ht="15.75">
      <c r="A59" s="580"/>
      <c r="B59" s="139"/>
      <c r="C59" s="580"/>
      <c r="D59" s="580"/>
      <c r="E59" s="580"/>
      <c r="F59" s="580"/>
    </row>
    <row r="60" spans="1:7" ht="15.75">
      <c r="A60" s="579"/>
      <c r="B60" s="899"/>
      <c r="C60" s="899"/>
      <c r="D60" s="899"/>
      <c r="E60" s="899"/>
      <c r="F60" s="899"/>
      <c r="G60" s="899"/>
    </row>
    <row r="61" spans="1:7" ht="15.75">
      <c r="A61" s="579"/>
      <c r="B61" s="568"/>
      <c r="C61" s="568"/>
      <c r="D61" s="568"/>
      <c r="E61" s="568"/>
      <c r="F61" s="586"/>
      <c r="G61" s="568"/>
    </row>
    <row r="62" spans="1:7" ht="15.75">
      <c r="A62" s="579"/>
      <c r="B62" s="568"/>
      <c r="C62" s="568"/>
      <c r="D62" s="568"/>
      <c r="E62" s="568"/>
      <c r="F62" s="586"/>
      <c r="G62" s="568"/>
    </row>
    <row r="63" spans="1:7" ht="15.75">
      <c r="A63" s="579"/>
      <c r="B63" s="568"/>
      <c r="C63" s="568"/>
      <c r="D63" s="568"/>
      <c r="E63" s="568"/>
      <c r="F63" s="586"/>
      <c r="G63" s="568"/>
    </row>
    <row r="64" spans="1:7" ht="15.75">
      <c r="A64" s="579"/>
      <c r="B64" s="899"/>
      <c r="C64" s="899"/>
      <c r="D64" s="899"/>
      <c r="E64" s="899"/>
      <c r="F64" s="586"/>
      <c r="G64" s="566"/>
    </row>
    <row r="65" spans="1:7" ht="15.75">
      <c r="A65" s="579"/>
      <c r="B65" s="572"/>
      <c r="C65" s="572"/>
      <c r="D65" s="572"/>
      <c r="E65" s="572"/>
      <c r="F65" s="572"/>
      <c r="G65" s="572"/>
    </row>
    <row r="66" spans="1:7" ht="15.75">
      <c r="A66" s="579"/>
      <c r="B66" s="899"/>
      <c r="C66" s="899"/>
      <c r="D66" s="899"/>
      <c r="E66" s="899"/>
      <c r="F66" s="586"/>
      <c r="G66" s="566"/>
    </row>
    <row r="118" ht="15.75">
      <c r="B118" s="1" t="s">
        <v>134</v>
      </c>
    </row>
  </sheetData>
  <sheetProtection/>
  <mergeCells count="13">
    <mergeCell ref="B66:C66"/>
    <mergeCell ref="D66:E66"/>
    <mergeCell ref="A6:F6"/>
    <mergeCell ref="E15:F15"/>
    <mergeCell ref="C15:D15"/>
    <mergeCell ref="B15:B17"/>
    <mergeCell ref="A15:A17"/>
    <mergeCell ref="B60:C60"/>
    <mergeCell ref="D60:E60"/>
    <mergeCell ref="F60:G60"/>
    <mergeCell ref="A9:B9"/>
    <mergeCell ref="B64:C64"/>
    <mergeCell ref="D64:E64"/>
  </mergeCells>
  <printOptions/>
  <pageMargins left="0.7086614173228347" right="0" top="0.3937007874015748" bottom="0.3937007874015748" header="0" footer="0"/>
  <pageSetup fitToHeight="4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160"/>
  <sheetViews>
    <sheetView tabSelected="1" zoomScale="70" zoomScaleNormal="70" zoomScalePageLayoutView="0" workbookViewId="0" topLeftCell="A1">
      <selection activeCell="H25" sqref="H25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6" width="10.875" style="1" hidden="1" customWidth="1"/>
    <col min="7" max="7" width="10.375" style="1" bestFit="1" customWidth="1"/>
    <col min="8" max="8" width="9.625" style="1" bestFit="1" customWidth="1"/>
    <col min="9" max="9" width="9.625" style="1" hidden="1" customWidth="1"/>
    <col min="10" max="10" width="10.375" style="1" bestFit="1" customWidth="1"/>
    <col min="11" max="11" width="11.125" style="1" customWidth="1"/>
    <col min="12" max="12" width="12.375" style="1" hidden="1" customWidth="1"/>
    <col min="13" max="13" width="10.375" style="1" bestFit="1" customWidth="1"/>
    <col min="14" max="14" width="10.375" style="1" customWidth="1"/>
    <col min="15" max="15" width="8.375" style="1" hidden="1" customWidth="1"/>
    <col min="16" max="16" width="10.375" style="1" bestFit="1" customWidth="1"/>
    <col min="17" max="17" width="11.875" style="1" customWidth="1"/>
    <col min="18" max="18" width="9.875" style="155" customWidth="1"/>
    <col min="19" max="19" width="13.25390625" style="155" bestFit="1" customWidth="1"/>
    <col min="20" max="20" width="9.875" style="155" customWidth="1"/>
    <col min="21" max="21" width="13.25390625" style="307" customWidth="1"/>
    <col min="22" max="22" width="10.875" style="1" customWidth="1"/>
    <col min="23" max="23" width="12.25390625" style="1" customWidth="1"/>
    <col min="24" max="24" width="9.625" style="1" customWidth="1"/>
    <col min="25" max="26" width="14.375" style="1" customWidth="1"/>
    <col min="27" max="27" width="37.50390625" style="1" customWidth="1"/>
    <col min="28" max="16384" width="9.00390625" style="1" customWidth="1"/>
  </cols>
  <sheetData>
    <row r="2" ht="15.75">
      <c r="AA2" s="4" t="s">
        <v>519</v>
      </c>
    </row>
    <row r="3" ht="15.75">
      <c r="AA3" s="4" t="s">
        <v>292</v>
      </c>
    </row>
    <row r="4" ht="15.75">
      <c r="AA4" s="4" t="s">
        <v>301</v>
      </c>
    </row>
    <row r="5" ht="15.75">
      <c r="AA5" s="4"/>
    </row>
    <row r="6" spans="1:27" ht="37.5" customHeight="1">
      <c r="A6" s="1016" t="s">
        <v>1038</v>
      </c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</row>
    <row r="7" spans="1:27" ht="15.75" customHeight="1">
      <c r="A7" s="1015" t="s">
        <v>979</v>
      </c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</row>
    <row r="8" spans="1:27" ht="21.75" customHeight="1">
      <c r="A8" s="1015"/>
      <c r="B8" s="1015"/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  <c r="Z8" s="1015"/>
      <c r="AA8" s="1015"/>
    </row>
    <row r="9" ht="15.75">
      <c r="AA9" s="4" t="s">
        <v>293</v>
      </c>
    </row>
    <row r="10" ht="15.75">
      <c r="AA10" s="4" t="s">
        <v>995</v>
      </c>
    </row>
    <row r="11" spans="23:27" ht="15.75">
      <c r="W11" s="679"/>
      <c r="Y11" s="679"/>
      <c r="AA11" s="4" t="s">
        <v>569</v>
      </c>
    </row>
    <row r="12" spans="25:27" ht="15.75">
      <c r="Y12" s="679"/>
      <c r="AA12" s="270" t="s">
        <v>996</v>
      </c>
    </row>
    <row r="13" spans="1:27" ht="15.75">
      <c r="A13" s="16"/>
      <c r="AA13" s="4" t="s">
        <v>1025</v>
      </c>
    </row>
    <row r="14" spans="1:27" ht="15.75">
      <c r="A14" s="16"/>
      <c r="AA14" s="4" t="s">
        <v>294</v>
      </c>
    </row>
    <row r="15" ht="16.5" thickBot="1"/>
    <row r="16" spans="1:27" ht="126" customHeight="1">
      <c r="A16" s="994" t="s">
        <v>624</v>
      </c>
      <c r="B16" s="964" t="s">
        <v>647</v>
      </c>
      <c r="C16" s="964" t="s">
        <v>380</v>
      </c>
      <c r="D16" s="964" t="s">
        <v>978</v>
      </c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 t="s">
        <v>324</v>
      </c>
      <c r="S16" s="964"/>
      <c r="T16" s="987" t="s">
        <v>325</v>
      </c>
      <c r="U16" s="988"/>
      <c r="V16" s="964" t="s">
        <v>381</v>
      </c>
      <c r="W16" s="964" t="s">
        <v>183</v>
      </c>
      <c r="X16" s="964"/>
      <c r="Y16" s="964"/>
      <c r="Z16" s="964"/>
      <c r="AA16" s="1018" t="s">
        <v>626</v>
      </c>
    </row>
    <row r="17" spans="1:27" ht="31.5" customHeight="1">
      <c r="A17" s="995"/>
      <c r="B17" s="965"/>
      <c r="C17" s="965"/>
      <c r="D17" s="1012" t="s">
        <v>627</v>
      </c>
      <c r="E17" s="1013"/>
      <c r="F17" s="1014"/>
      <c r="G17" s="1012" t="s">
        <v>628</v>
      </c>
      <c r="H17" s="1013"/>
      <c r="I17" s="1014"/>
      <c r="J17" s="1012" t="s">
        <v>629</v>
      </c>
      <c r="K17" s="1013"/>
      <c r="L17" s="1014"/>
      <c r="M17" s="965" t="s">
        <v>630</v>
      </c>
      <c r="N17" s="965"/>
      <c r="O17" s="965"/>
      <c r="P17" s="965" t="s">
        <v>631</v>
      </c>
      <c r="Q17" s="965"/>
      <c r="R17" s="965"/>
      <c r="S17" s="965"/>
      <c r="T17" s="989"/>
      <c r="U17" s="990"/>
      <c r="V17" s="965"/>
      <c r="W17" s="965" t="s">
        <v>74</v>
      </c>
      <c r="X17" s="965" t="s">
        <v>178</v>
      </c>
      <c r="Y17" s="965" t="s">
        <v>141</v>
      </c>
      <c r="Z17" s="965"/>
      <c r="AA17" s="1019"/>
    </row>
    <row r="18" spans="1:27" ht="81.75" customHeight="1">
      <c r="A18" s="995"/>
      <c r="B18" s="965"/>
      <c r="C18" s="965"/>
      <c r="D18" s="222" t="s">
        <v>190</v>
      </c>
      <c r="E18" s="222" t="s">
        <v>980</v>
      </c>
      <c r="F18" s="222" t="s">
        <v>981</v>
      </c>
      <c r="G18" s="222" t="s">
        <v>632</v>
      </c>
      <c r="H18" s="222" t="s">
        <v>982</v>
      </c>
      <c r="I18" s="222" t="s">
        <v>981</v>
      </c>
      <c r="J18" s="222" t="s">
        <v>632</v>
      </c>
      <c r="K18" s="222" t="s">
        <v>980</v>
      </c>
      <c r="L18" s="222" t="s">
        <v>981</v>
      </c>
      <c r="M18" s="222" t="s">
        <v>632</v>
      </c>
      <c r="N18" s="222" t="s">
        <v>980</v>
      </c>
      <c r="O18" s="222" t="s">
        <v>981</v>
      </c>
      <c r="P18" s="222" t="s">
        <v>632</v>
      </c>
      <c r="Q18" s="222" t="s">
        <v>633</v>
      </c>
      <c r="R18" s="874" t="s">
        <v>627</v>
      </c>
      <c r="S18" s="222" t="s">
        <v>601</v>
      </c>
      <c r="T18" s="222" t="s">
        <v>627</v>
      </c>
      <c r="U18" s="222" t="s">
        <v>323</v>
      </c>
      <c r="V18" s="965"/>
      <c r="W18" s="965"/>
      <c r="X18" s="965"/>
      <c r="Y18" s="222" t="s">
        <v>140</v>
      </c>
      <c r="Z18" s="222" t="s">
        <v>177</v>
      </c>
      <c r="AA18" s="1019"/>
    </row>
    <row r="19" spans="1:27" ht="42.75" customHeight="1">
      <c r="A19" s="221"/>
      <c r="B19" s="222" t="s">
        <v>571</v>
      </c>
      <c r="C19" s="222"/>
      <c r="D19" s="231">
        <f aca="true" t="shared" si="0" ref="D19:I19">D20+D100+D146</f>
        <v>119.6212846</v>
      </c>
      <c r="E19" s="231">
        <f t="shared" si="0"/>
        <v>124.29676983159997</v>
      </c>
      <c r="F19" s="231">
        <f t="shared" si="0"/>
        <v>0</v>
      </c>
      <c r="G19" s="231">
        <f t="shared" si="0"/>
        <v>0.234</v>
      </c>
      <c r="H19" s="231">
        <f t="shared" si="0"/>
        <v>13.110302231599999</v>
      </c>
      <c r="I19" s="231">
        <f t="shared" si="0"/>
        <v>0</v>
      </c>
      <c r="J19" s="231">
        <f>J20+J100+J146+0.001</f>
        <v>46.6164778</v>
      </c>
      <c r="K19" s="231">
        <f>K20+K100+K146</f>
        <v>5.374215599999999</v>
      </c>
      <c r="L19" s="231">
        <f>L20+L100+L146</f>
        <v>0</v>
      </c>
      <c r="M19" s="231">
        <f>M20+M100+M146</f>
        <v>51.816854799999994</v>
      </c>
      <c r="N19" s="231">
        <f>N20+N100+N146</f>
        <v>27.015049799999996</v>
      </c>
      <c r="O19" s="231">
        <f>O20+O100+O146</f>
        <v>0</v>
      </c>
      <c r="P19" s="231">
        <f>P20+P100+P146-0.001</f>
        <v>20.9535028</v>
      </c>
      <c r="Q19" s="231">
        <f>Q20+Q100+Q146</f>
        <v>78.79720219999999</v>
      </c>
      <c r="R19" s="875">
        <f>R20+R100+R146</f>
        <v>124.29676983159997</v>
      </c>
      <c r="S19" s="231">
        <f>S20+S100+S146</f>
        <v>78.79720219999999</v>
      </c>
      <c r="T19" s="231">
        <f>T20+T100+T146</f>
        <v>18.3142320316</v>
      </c>
      <c r="U19" s="231">
        <f>U20+U100+U146</f>
        <v>10.8910290316</v>
      </c>
      <c r="V19" s="231">
        <f>V20+V100+V146-0.001</f>
        <v>-4.676485231599991</v>
      </c>
      <c r="W19" s="231">
        <f>W20+W100+W146</f>
        <v>-4.657785231599986</v>
      </c>
      <c r="X19" s="231"/>
      <c r="Y19" s="231">
        <f>Y20+Y100+Y146</f>
        <v>0</v>
      </c>
      <c r="Z19" s="231">
        <f>Z20+Z100+Z146</f>
        <v>-4.657785231599986</v>
      </c>
      <c r="AA19" s="303"/>
    </row>
    <row r="20" spans="1:27" ht="31.5">
      <c r="A20" s="279" t="s">
        <v>611</v>
      </c>
      <c r="B20" s="214" t="s">
        <v>181</v>
      </c>
      <c r="C20" s="214"/>
      <c r="D20" s="289">
        <f>D21+D36+D41+G98</f>
        <v>43.0620586</v>
      </c>
      <c r="E20" s="289">
        <f>E21+E36+E41+H98</f>
        <v>59.95755819999999</v>
      </c>
      <c r="F20" s="289">
        <f>F21+F36+F41+I98</f>
        <v>0</v>
      </c>
      <c r="G20" s="289">
        <f>G21+G36+G41+J98</f>
        <v>0</v>
      </c>
      <c r="H20" s="289">
        <f>H21+H36+H41+K98</f>
        <v>3.1522992</v>
      </c>
      <c r="I20" s="289">
        <f>I21+I36+I41+M98</f>
        <v>0</v>
      </c>
      <c r="J20" s="289">
        <f>J21+J36+J41+M98</f>
        <v>18.4302456</v>
      </c>
      <c r="K20" s="289">
        <f>K21+K36+K41+O98</f>
        <v>5.35307</v>
      </c>
      <c r="L20" s="289">
        <f>L21+L36+L41+Q98</f>
        <v>0</v>
      </c>
      <c r="M20" s="289">
        <f>M21+M36+M41+P98</f>
        <v>23.8968608</v>
      </c>
      <c r="N20" s="289">
        <f>N21+N36+N41+R98</f>
        <v>17.1727052</v>
      </c>
      <c r="O20" s="289">
        <f>O21+O36+O41+T98</f>
        <v>0</v>
      </c>
      <c r="P20" s="289">
        <f aca="true" t="shared" si="1" ref="P20:W20">P21+P36+P41+R98</f>
        <v>0.7345028</v>
      </c>
      <c r="Q20" s="289">
        <f t="shared" si="1"/>
        <v>34.279483799999994</v>
      </c>
      <c r="R20" s="876">
        <f t="shared" si="1"/>
        <v>59.95755819999999</v>
      </c>
      <c r="S20" s="289">
        <f t="shared" si="1"/>
        <v>34.279483799999994</v>
      </c>
      <c r="T20" s="289">
        <f t="shared" si="1"/>
        <v>18.2699282</v>
      </c>
      <c r="U20" s="289">
        <f t="shared" si="1"/>
        <v>10.8467252</v>
      </c>
      <c r="V20" s="289">
        <f t="shared" si="1"/>
        <v>-16.8954996</v>
      </c>
      <c r="W20" s="289">
        <f t="shared" si="1"/>
        <v>-16.877799599999996</v>
      </c>
      <c r="X20" s="289"/>
      <c r="Y20" s="289">
        <f>Y21+Y36+Y41+AA98</f>
        <v>0</v>
      </c>
      <c r="Z20" s="289">
        <f>Z21+Z36+Z41+AB98</f>
        <v>-16.877799599999996</v>
      </c>
      <c r="AA20" s="281"/>
    </row>
    <row r="21" spans="1:27" ht="31.5">
      <c r="A21" s="822" t="s">
        <v>612</v>
      </c>
      <c r="B21" s="823" t="s">
        <v>179</v>
      </c>
      <c r="C21" s="823"/>
      <c r="D21" s="824">
        <f aca="true" t="shared" si="2" ref="D21:W21">D22+D27+D34</f>
        <v>15.117735199999998</v>
      </c>
      <c r="E21" s="824">
        <f t="shared" si="2"/>
        <v>12.400089</v>
      </c>
      <c r="F21" s="824">
        <f>F22+F27+F34</f>
        <v>0</v>
      </c>
      <c r="G21" s="824">
        <f t="shared" si="2"/>
        <v>0</v>
      </c>
      <c r="H21" s="824">
        <f t="shared" si="2"/>
        <v>0</v>
      </c>
      <c r="I21" s="824">
        <f>I22+I27+I34</f>
        <v>0</v>
      </c>
      <c r="J21" s="824">
        <f t="shared" si="2"/>
        <v>8.717699</v>
      </c>
      <c r="K21" s="824">
        <f t="shared" si="2"/>
        <v>0</v>
      </c>
      <c r="L21" s="824">
        <f>L22+L27+L34</f>
        <v>0</v>
      </c>
      <c r="M21" s="824">
        <f t="shared" si="2"/>
        <v>6.3993586</v>
      </c>
      <c r="N21" s="824">
        <f>N22+N27+N34</f>
        <v>5.384422600000001</v>
      </c>
      <c r="O21" s="824">
        <f>O22+O27+O34</f>
        <v>0</v>
      </c>
      <c r="P21" s="824">
        <f t="shared" si="2"/>
        <v>0</v>
      </c>
      <c r="Q21" s="824">
        <f t="shared" si="2"/>
        <v>7.0156664</v>
      </c>
      <c r="R21" s="877">
        <f t="shared" si="2"/>
        <v>12.400089</v>
      </c>
      <c r="S21" s="824">
        <f t="shared" si="2"/>
        <v>7.0156664</v>
      </c>
      <c r="T21" s="824">
        <f t="shared" si="2"/>
        <v>0</v>
      </c>
      <c r="U21" s="824">
        <f t="shared" si="2"/>
        <v>0</v>
      </c>
      <c r="V21" s="824">
        <f t="shared" si="2"/>
        <v>2.7176462</v>
      </c>
      <c r="W21" s="824">
        <f t="shared" si="2"/>
        <v>2.7176462</v>
      </c>
      <c r="X21" s="824"/>
      <c r="Y21" s="824">
        <f>Y22+Y27+Y34</f>
        <v>0</v>
      </c>
      <c r="Z21" s="824">
        <f>Z22+Z27+Z34</f>
        <v>2.7176462</v>
      </c>
      <c r="AA21" s="825"/>
    </row>
    <row r="22" spans="1:27" ht="15.75">
      <c r="A22" s="278" t="s">
        <v>637</v>
      </c>
      <c r="B22" s="826" t="s">
        <v>796</v>
      </c>
      <c r="C22" s="275"/>
      <c r="D22" s="290">
        <f>D23+D25</f>
        <v>4.2896776</v>
      </c>
      <c r="E22" s="290">
        <f aca="true" t="shared" si="3" ref="E22:W22">E23+E25</f>
        <v>4.1287728</v>
      </c>
      <c r="F22" s="290">
        <f>F23+F25</f>
        <v>0</v>
      </c>
      <c r="G22" s="290">
        <f t="shared" si="3"/>
        <v>0</v>
      </c>
      <c r="H22" s="290">
        <f t="shared" si="3"/>
        <v>0</v>
      </c>
      <c r="I22" s="290">
        <f>I23+I25</f>
        <v>0</v>
      </c>
      <c r="J22" s="290">
        <f t="shared" si="3"/>
        <v>1.286</v>
      </c>
      <c r="K22" s="290">
        <f t="shared" si="3"/>
        <v>0</v>
      </c>
      <c r="L22" s="290">
        <f>L23+L25</f>
        <v>0</v>
      </c>
      <c r="M22" s="290">
        <f t="shared" si="3"/>
        <v>3.003</v>
      </c>
      <c r="N22" s="290">
        <f>N23+N25</f>
        <v>2.7540256</v>
      </c>
      <c r="O22" s="290">
        <f>O23+O25</f>
        <v>0</v>
      </c>
      <c r="P22" s="290">
        <f t="shared" si="3"/>
        <v>0</v>
      </c>
      <c r="Q22" s="290">
        <f t="shared" si="3"/>
        <v>1.3747472</v>
      </c>
      <c r="R22" s="878">
        <f t="shared" si="3"/>
        <v>4.1287728</v>
      </c>
      <c r="S22" s="290">
        <f t="shared" si="3"/>
        <v>1.3747472</v>
      </c>
      <c r="T22" s="290">
        <f t="shared" si="3"/>
        <v>0</v>
      </c>
      <c r="U22" s="290">
        <f t="shared" si="3"/>
        <v>0</v>
      </c>
      <c r="V22" s="290">
        <f t="shared" si="3"/>
        <v>0.16090479999999996</v>
      </c>
      <c r="W22" s="290">
        <f t="shared" si="3"/>
        <v>0.16090479999999996</v>
      </c>
      <c r="X22" s="276"/>
      <c r="Y22" s="290">
        <f>Y23+Y25</f>
        <v>0</v>
      </c>
      <c r="Z22" s="290">
        <f>Z23+Z25</f>
        <v>0.16090479999999996</v>
      </c>
      <c r="AA22" s="277"/>
    </row>
    <row r="23" spans="1:27" s="657" customFormat="1" ht="15.75">
      <c r="A23" s="842" t="s">
        <v>837</v>
      </c>
      <c r="B23" s="843" t="s">
        <v>561</v>
      </c>
      <c r="C23" s="844"/>
      <c r="D23" s="845">
        <f>SUM(D24)</f>
        <v>0</v>
      </c>
      <c r="E23" s="845">
        <f>SUM(E24)</f>
        <v>0</v>
      </c>
      <c r="F23" s="845">
        <f>SUM(F24)</f>
        <v>0</v>
      </c>
      <c r="G23" s="860">
        <f aca="true" t="shared" si="4" ref="G23:W23">SUM(G24)</f>
        <v>0</v>
      </c>
      <c r="H23" s="845">
        <f t="shared" si="4"/>
        <v>0</v>
      </c>
      <c r="I23" s="845">
        <f t="shared" si="4"/>
        <v>0</v>
      </c>
      <c r="J23" s="860">
        <f t="shared" si="4"/>
        <v>0</v>
      </c>
      <c r="K23" s="845">
        <f>SUM(K24)</f>
        <v>0</v>
      </c>
      <c r="L23" s="845">
        <f t="shared" si="4"/>
        <v>0</v>
      </c>
      <c r="M23" s="860">
        <f t="shared" si="4"/>
        <v>0</v>
      </c>
      <c r="N23" s="845">
        <f>SUM(N24)</f>
        <v>0</v>
      </c>
      <c r="O23" s="845">
        <f t="shared" si="4"/>
        <v>0</v>
      </c>
      <c r="P23" s="860">
        <f t="shared" si="4"/>
        <v>0</v>
      </c>
      <c r="Q23" s="845">
        <f t="shared" si="4"/>
        <v>0</v>
      </c>
      <c r="R23" s="879">
        <f t="shared" si="4"/>
        <v>0</v>
      </c>
      <c r="S23" s="845">
        <f t="shared" si="4"/>
        <v>0</v>
      </c>
      <c r="T23" s="845">
        <f t="shared" si="4"/>
        <v>0</v>
      </c>
      <c r="U23" s="845">
        <f t="shared" si="4"/>
        <v>0</v>
      </c>
      <c r="V23" s="845">
        <f t="shared" si="4"/>
        <v>0</v>
      </c>
      <c r="W23" s="845">
        <f t="shared" si="4"/>
        <v>0</v>
      </c>
      <c r="X23" s="654"/>
      <c r="Y23" s="845">
        <f>SUM(Y24)</f>
        <v>0</v>
      </c>
      <c r="Z23" s="845">
        <f>SUM(Z24)</f>
        <v>0</v>
      </c>
      <c r="AA23" s="846"/>
    </row>
    <row r="24" spans="1:27" s="657" customFormat="1" ht="15.75">
      <c r="A24" s="858"/>
      <c r="B24" s="769"/>
      <c r="C24" s="859"/>
      <c r="D24" s="848"/>
      <c r="E24" s="847"/>
      <c r="F24" s="847"/>
      <c r="G24" s="857"/>
      <c r="H24" s="847"/>
      <c r="I24" s="847"/>
      <c r="J24" s="857"/>
      <c r="K24" s="847"/>
      <c r="L24" s="847"/>
      <c r="M24" s="857"/>
      <c r="N24" s="847"/>
      <c r="O24" s="847"/>
      <c r="P24" s="857"/>
      <c r="Q24" s="847"/>
      <c r="R24" s="880"/>
      <c r="S24" s="847"/>
      <c r="T24" s="847"/>
      <c r="U24" s="847"/>
      <c r="V24" s="849"/>
      <c r="W24" s="847"/>
      <c r="X24" s="850"/>
      <c r="Y24" s="847"/>
      <c r="Z24" s="847"/>
      <c r="AA24" s="846"/>
    </row>
    <row r="25" spans="1:27" s="657" customFormat="1" ht="15.75">
      <c r="A25" s="842" t="s">
        <v>838</v>
      </c>
      <c r="B25" s="843" t="s">
        <v>563</v>
      </c>
      <c r="C25" s="844"/>
      <c r="D25" s="845">
        <f>SUM(D26)</f>
        <v>4.2896776</v>
      </c>
      <c r="E25" s="845">
        <f>SUM(E26)</f>
        <v>4.1287728</v>
      </c>
      <c r="F25" s="845">
        <f>SUM(F26)</f>
        <v>0</v>
      </c>
      <c r="G25" s="824">
        <f>G26</f>
        <v>0</v>
      </c>
      <c r="H25" s="845">
        <f>SUM(H26)</f>
        <v>0</v>
      </c>
      <c r="I25" s="845">
        <f>SUM(I26)</f>
        <v>0</v>
      </c>
      <c r="J25" s="824">
        <f>J26</f>
        <v>1.286</v>
      </c>
      <c r="K25" s="845">
        <f>SUM(K26)</f>
        <v>0</v>
      </c>
      <c r="L25" s="845">
        <f>SUM(L26)</f>
        <v>0</v>
      </c>
      <c r="M25" s="824">
        <f>M26</f>
        <v>3.003</v>
      </c>
      <c r="N25" s="845">
        <f>SUM(N26)</f>
        <v>2.7540256</v>
      </c>
      <c r="O25" s="845">
        <f>SUM(O26)</f>
        <v>0</v>
      </c>
      <c r="P25" s="824">
        <f>P26</f>
        <v>0</v>
      </c>
      <c r="Q25" s="845">
        <f aca="true" t="shared" si="5" ref="Q25:W25">SUM(Q26)</f>
        <v>1.3747472</v>
      </c>
      <c r="R25" s="879">
        <f t="shared" si="5"/>
        <v>4.1287728</v>
      </c>
      <c r="S25" s="845">
        <f t="shared" si="5"/>
        <v>1.3747472</v>
      </c>
      <c r="T25" s="845">
        <f t="shared" si="5"/>
        <v>0</v>
      </c>
      <c r="U25" s="845">
        <f t="shared" si="5"/>
        <v>0</v>
      </c>
      <c r="V25" s="845">
        <f t="shared" si="5"/>
        <v>0.16090479999999996</v>
      </c>
      <c r="W25" s="845">
        <f t="shared" si="5"/>
        <v>0.16090479999999996</v>
      </c>
      <c r="X25" s="654"/>
      <c r="Y25" s="845">
        <f>SUM(Y26)</f>
        <v>0</v>
      </c>
      <c r="Z25" s="845">
        <f>SUM(Z26)</f>
        <v>0.16090479999999996</v>
      </c>
      <c r="AA25" s="846"/>
    </row>
    <row r="26" spans="1:27" ht="44.25" customHeight="1">
      <c r="A26" s="19">
        <v>1</v>
      </c>
      <c r="B26" s="5" t="s">
        <v>839</v>
      </c>
      <c r="C26" s="5"/>
      <c r="D26" s="229">
        <v>4.2896776</v>
      </c>
      <c r="E26" s="229">
        <f>H26+K26+N26+Q26</f>
        <v>4.1287728</v>
      </c>
      <c r="F26" s="229">
        <f>I26+L26+O26</f>
        <v>0</v>
      </c>
      <c r="G26" s="857">
        <v>0</v>
      </c>
      <c r="H26" s="229"/>
      <c r="I26" s="229"/>
      <c r="J26" s="857">
        <v>1.286</v>
      </c>
      <c r="K26" s="229"/>
      <c r="L26" s="229"/>
      <c r="M26" s="857">
        <v>3.003</v>
      </c>
      <c r="N26" s="229">
        <f>2.33392*1.18</f>
        <v>2.7540256</v>
      </c>
      <c r="O26" s="229"/>
      <c r="P26" s="522">
        <v>0</v>
      </c>
      <c r="Q26" s="883">
        <f>1.16504*1.18</f>
        <v>1.3747472</v>
      </c>
      <c r="R26" s="869">
        <f>E26+F26</f>
        <v>4.1287728</v>
      </c>
      <c r="S26" s="229">
        <f>Q26</f>
        <v>1.3747472</v>
      </c>
      <c r="T26" s="229"/>
      <c r="U26" s="229"/>
      <c r="V26" s="299">
        <f>D26-E26-F26</f>
        <v>0.16090479999999996</v>
      </c>
      <c r="W26" s="229">
        <f>V26</f>
        <v>0.16090479999999996</v>
      </c>
      <c r="X26" s="851">
        <f>W26/D26</f>
        <v>0.03750976530264185</v>
      </c>
      <c r="Y26" s="229"/>
      <c r="Z26" s="229">
        <f>W26</f>
        <v>0.16090479999999996</v>
      </c>
      <c r="AA26" s="868" t="s">
        <v>1021</v>
      </c>
    </row>
    <row r="27" spans="1:27" ht="15.75">
      <c r="A27" s="278" t="s">
        <v>650</v>
      </c>
      <c r="B27" s="826" t="s">
        <v>797</v>
      </c>
      <c r="C27" s="275"/>
      <c r="D27" s="290">
        <f aca="true" t="shared" si="6" ref="D27:W27">SUM(D29:D33)</f>
        <v>10.8280576</v>
      </c>
      <c r="E27" s="290">
        <f t="shared" si="6"/>
        <v>8.2713162</v>
      </c>
      <c r="F27" s="290">
        <f t="shared" si="6"/>
        <v>0</v>
      </c>
      <c r="G27" s="824">
        <f t="shared" si="6"/>
        <v>0</v>
      </c>
      <c r="H27" s="290">
        <f t="shared" si="6"/>
        <v>0</v>
      </c>
      <c r="I27" s="290">
        <f t="shared" si="6"/>
        <v>0</v>
      </c>
      <c r="J27" s="824">
        <f t="shared" si="6"/>
        <v>7.431699</v>
      </c>
      <c r="K27" s="290">
        <f t="shared" si="6"/>
        <v>0</v>
      </c>
      <c r="L27" s="290">
        <f>SUM(L29:L33)</f>
        <v>0</v>
      </c>
      <c r="M27" s="824">
        <f t="shared" si="6"/>
        <v>3.3963586</v>
      </c>
      <c r="N27" s="290">
        <f>SUM(N29:N33)</f>
        <v>2.6303970000000003</v>
      </c>
      <c r="O27" s="290">
        <f>SUM(O29:O33)</f>
        <v>0</v>
      </c>
      <c r="P27" s="290">
        <f t="shared" si="6"/>
        <v>0</v>
      </c>
      <c r="Q27" s="290">
        <f t="shared" si="6"/>
        <v>5.6409192</v>
      </c>
      <c r="R27" s="878">
        <f t="shared" si="6"/>
        <v>8.2713162</v>
      </c>
      <c r="S27" s="290">
        <f t="shared" si="6"/>
        <v>5.6409192</v>
      </c>
      <c r="T27" s="290">
        <f t="shared" si="6"/>
        <v>0</v>
      </c>
      <c r="U27" s="290">
        <f t="shared" si="6"/>
        <v>0</v>
      </c>
      <c r="V27" s="290">
        <f t="shared" si="6"/>
        <v>2.5567414</v>
      </c>
      <c r="W27" s="290">
        <f t="shared" si="6"/>
        <v>2.5567414</v>
      </c>
      <c r="X27" s="290"/>
      <c r="Y27" s="290">
        <f>SUM(Y29:Y33)</f>
        <v>0</v>
      </c>
      <c r="Z27" s="290">
        <f>SUM(Z29:Z33)</f>
        <v>2.5567414</v>
      </c>
      <c r="AA27" s="277"/>
    </row>
    <row r="28" spans="1:27" s="657" customFormat="1" ht="15.75">
      <c r="A28" s="842" t="s">
        <v>840</v>
      </c>
      <c r="B28" s="843" t="s">
        <v>561</v>
      </c>
      <c r="C28" s="844"/>
      <c r="D28" s="845">
        <f aca="true" t="shared" si="7" ref="D28:P28">SUM(D29:D33)</f>
        <v>10.8280576</v>
      </c>
      <c r="E28" s="845">
        <f t="shared" si="7"/>
        <v>8.2713162</v>
      </c>
      <c r="F28" s="845">
        <f t="shared" si="7"/>
        <v>0</v>
      </c>
      <c r="G28" s="860">
        <f t="shared" si="7"/>
        <v>0</v>
      </c>
      <c r="H28" s="845">
        <f t="shared" si="7"/>
        <v>0</v>
      </c>
      <c r="I28" s="845">
        <f t="shared" si="7"/>
        <v>0</v>
      </c>
      <c r="J28" s="860">
        <f t="shared" si="7"/>
        <v>7.431699</v>
      </c>
      <c r="K28" s="845">
        <f t="shared" si="7"/>
        <v>0</v>
      </c>
      <c r="L28" s="845">
        <f>SUM(L29:L33)</f>
        <v>0</v>
      </c>
      <c r="M28" s="860">
        <f t="shared" si="7"/>
        <v>3.3963586</v>
      </c>
      <c r="N28" s="845">
        <f>SUM(N29:N33)</f>
        <v>2.6303970000000003</v>
      </c>
      <c r="O28" s="845">
        <f>SUM(O29:O33)</f>
        <v>0</v>
      </c>
      <c r="P28" s="860">
        <f t="shared" si="7"/>
        <v>0</v>
      </c>
      <c r="Q28" s="845">
        <f aca="true" t="shared" si="8" ref="Q28:W28">SUM(Q29:Q33)</f>
        <v>5.6409192</v>
      </c>
      <c r="R28" s="879">
        <f t="shared" si="8"/>
        <v>8.2713162</v>
      </c>
      <c r="S28" s="845">
        <f t="shared" si="8"/>
        <v>5.6409192</v>
      </c>
      <c r="T28" s="845">
        <f t="shared" si="8"/>
        <v>0</v>
      </c>
      <c r="U28" s="845">
        <f t="shared" si="8"/>
        <v>0</v>
      </c>
      <c r="V28" s="845">
        <f t="shared" si="8"/>
        <v>2.5567414</v>
      </c>
      <c r="W28" s="845">
        <f t="shared" si="8"/>
        <v>2.5567414</v>
      </c>
      <c r="X28" s="654"/>
      <c r="Y28" s="845">
        <f>SUM(Y29:Y33)</f>
        <v>0</v>
      </c>
      <c r="Z28" s="845">
        <f>SUM(Z29:Z33)</f>
        <v>2.5567414</v>
      </c>
      <c r="AA28" s="846"/>
    </row>
    <row r="29" spans="1:27" ht="23.25" customHeight="1">
      <c r="A29" s="19">
        <v>1</v>
      </c>
      <c r="B29" s="861" t="s">
        <v>841</v>
      </c>
      <c r="C29" s="5"/>
      <c r="D29" s="229">
        <v>2.8463369999999997</v>
      </c>
      <c r="E29" s="229">
        <f>H29+K29+N29+Q29</f>
        <v>2.1758138</v>
      </c>
      <c r="F29" s="229">
        <f>I29+L29+O29</f>
        <v>0</v>
      </c>
      <c r="G29" s="857">
        <v>0</v>
      </c>
      <c r="H29" s="229"/>
      <c r="I29" s="229"/>
      <c r="J29" s="857">
        <f>D29</f>
        <v>2.8463369999999997</v>
      </c>
      <c r="K29" s="229"/>
      <c r="L29" s="229"/>
      <c r="M29" s="857">
        <v>0</v>
      </c>
      <c r="N29" s="229">
        <f>544.22*1.18/1000</f>
        <v>0.6421796000000001</v>
      </c>
      <c r="O29" s="229"/>
      <c r="P29" s="522">
        <v>0</v>
      </c>
      <c r="Q29" s="883">
        <f>1.29969*1.18</f>
        <v>1.5336341999999998</v>
      </c>
      <c r="R29" s="869">
        <f>E29+F29</f>
        <v>2.1758138</v>
      </c>
      <c r="S29" s="229">
        <f>Q29</f>
        <v>1.5336341999999998</v>
      </c>
      <c r="T29" s="229"/>
      <c r="U29" s="229"/>
      <c r="V29" s="299">
        <f>D29-E29-F29</f>
        <v>0.6705231999999999</v>
      </c>
      <c r="W29" s="229">
        <f>V29</f>
        <v>0.6705231999999999</v>
      </c>
      <c r="X29" s="851">
        <f>W29/D29</f>
        <v>0.23557407292249652</v>
      </c>
      <c r="Y29" s="229"/>
      <c r="Z29" s="229">
        <f>W29</f>
        <v>0.6705231999999999</v>
      </c>
      <c r="AA29" s="868" t="s">
        <v>1022</v>
      </c>
    </row>
    <row r="30" spans="1:27" ht="27" customHeight="1">
      <c r="A30" s="19">
        <v>2</v>
      </c>
      <c r="B30" s="861" t="s">
        <v>842</v>
      </c>
      <c r="C30" s="5"/>
      <c r="D30" s="229">
        <v>4.013062</v>
      </c>
      <c r="E30" s="229">
        <f>H30+K30+N30+Q30</f>
        <v>2.9555105999999998</v>
      </c>
      <c r="F30" s="229">
        <f>I30+L30+O30</f>
        <v>0</v>
      </c>
      <c r="G30" s="857">
        <v>0</v>
      </c>
      <c r="H30" s="229"/>
      <c r="I30" s="229"/>
      <c r="J30" s="857">
        <f>D30</f>
        <v>4.013062</v>
      </c>
      <c r="K30" s="229"/>
      <c r="L30" s="229"/>
      <c r="M30" s="857">
        <v>0</v>
      </c>
      <c r="N30" s="229">
        <f>0.40401*1.18</f>
        <v>0.47673179999999993</v>
      </c>
      <c r="O30" s="229"/>
      <c r="P30" s="522">
        <v>0</v>
      </c>
      <c r="Q30" s="883">
        <f>2.10066*1.18</f>
        <v>2.4787787999999997</v>
      </c>
      <c r="R30" s="869">
        <f>E30+F30</f>
        <v>2.9555105999999998</v>
      </c>
      <c r="S30" s="229">
        <f>Q30</f>
        <v>2.4787787999999997</v>
      </c>
      <c r="T30" s="229"/>
      <c r="U30" s="229"/>
      <c r="V30" s="299">
        <f>D30-E30-F30</f>
        <v>1.0575514</v>
      </c>
      <c r="W30" s="229">
        <f>V30</f>
        <v>1.0575514</v>
      </c>
      <c r="X30" s="851">
        <f>W30/D30</f>
        <v>0.2635273015966362</v>
      </c>
      <c r="Y30" s="229"/>
      <c r="Z30" s="229">
        <f>W30</f>
        <v>1.0575514</v>
      </c>
      <c r="AA30" s="868" t="s">
        <v>1022</v>
      </c>
    </row>
    <row r="31" spans="1:27" ht="34.5" customHeight="1">
      <c r="A31" s="19">
        <v>3</v>
      </c>
      <c r="B31" s="861" t="s">
        <v>843</v>
      </c>
      <c r="C31" s="5"/>
      <c r="D31" s="229">
        <v>3.3963586</v>
      </c>
      <c r="E31" s="229">
        <f>H31+K31+N31+Q31</f>
        <v>2.9197802</v>
      </c>
      <c r="F31" s="229">
        <f>I31+L31+O31</f>
        <v>0</v>
      </c>
      <c r="G31" s="857">
        <v>0</v>
      </c>
      <c r="H31" s="229"/>
      <c r="I31" s="229"/>
      <c r="J31" s="857">
        <v>0</v>
      </c>
      <c r="K31" s="229"/>
      <c r="L31" s="229"/>
      <c r="M31" s="857">
        <f>D31</f>
        <v>3.3963586</v>
      </c>
      <c r="N31" s="229">
        <f>1.28092*1.18</f>
        <v>1.5114856</v>
      </c>
      <c r="O31" s="229"/>
      <c r="P31" s="522">
        <v>0</v>
      </c>
      <c r="Q31" s="883">
        <f>1.19347*1.18</f>
        <v>1.4082946</v>
      </c>
      <c r="R31" s="869">
        <f>E31+F31</f>
        <v>2.9197802</v>
      </c>
      <c r="S31" s="229">
        <f>Q31</f>
        <v>1.4082946</v>
      </c>
      <c r="T31" s="229"/>
      <c r="U31" s="229"/>
      <c r="V31" s="299">
        <f>D31-E31-F31</f>
        <v>0.4765784000000002</v>
      </c>
      <c r="W31" s="229">
        <f>V31</f>
        <v>0.4765784000000002</v>
      </c>
      <c r="X31" s="851">
        <f>W31/D31</f>
        <v>0.14032040079631172</v>
      </c>
      <c r="Y31" s="229"/>
      <c r="Z31" s="229">
        <f>W31</f>
        <v>0.4765784000000002</v>
      </c>
      <c r="AA31" s="868" t="s">
        <v>1022</v>
      </c>
    </row>
    <row r="32" spans="1:27" ht="31.5" customHeight="1">
      <c r="A32" s="19">
        <v>4</v>
      </c>
      <c r="B32" s="861" t="s">
        <v>948</v>
      </c>
      <c r="C32" s="5"/>
      <c r="D32" s="229">
        <v>0.34691999999999995</v>
      </c>
      <c r="E32" s="229">
        <f>H32+K32+N32+Q32</f>
        <v>0.13276179999999999</v>
      </c>
      <c r="F32" s="229">
        <f>I32+L32+O32</f>
        <v>0</v>
      </c>
      <c r="G32" s="857">
        <v>0</v>
      </c>
      <c r="H32" s="229"/>
      <c r="I32" s="229"/>
      <c r="J32" s="857">
        <f>D32</f>
        <v>0.34691999999999995</v>
      </c>
      <c r="K32" s="229"/>
      <c r="L32" s="229"/>
      <c r="M32" s="857">
        <v>0</v>
      </c>
      <c r="N32" s="229"/>
      <c r="O32" s="229"/>
      <c r="P32" s="522">
        <v>0</v>
      </c>
      <c r="Q32" s="883">
        <f>0.11251*1.18</f>
        <v>0.13276179999999999</v>
      </c>
      <c r="R32" s="869">
        <f>E32+F32</f>
        <v>0.13276179999999999</v>
      </c>
      <c r="S32" s="229">
        <f>Q32</f>
        <v>0.13276179999999999</v>
      </c>
      <c r="T32" s="229"/>
      <c r="U32" s="229"/>
      <c r="V32" s="299">
        <f>D32-E32-F32</f>
        <v>0.21415819999999997</v>
      </c>
      <c r="W32" s="229">
        <f>V32</f>
        <v>0.21415819999999997</v>
      </c>
      <c r="X32" s="851">
        <f>W32/D32</f>
        <v>0.617312925170068</v>
      </c>
      <c r="Y32" s="229"/>
      <c r="Z32" s="229">
        <f>W32</f>
        <v>0.21415819999999997</v>
      </c>
      <c r="AA32" s="7"/>
    </row>
    <row r="33" spans="1:27" ht="36" customHeight="1">
      <c r="A33" s="19">
        <v>5</v>
      </c>
      <c r="B33" s="861" t="s">
        <v>949</v>
      </c>
      <c r="C33" s="5"/>
      <c r="D33" s="229">
        <v>0.22538</v>
      </c>
      <c r="E33" s="229">
        <f>H33+K33+N33+Q33</f>
        <v>0.0874498</v>
      </c>
      <c r="F33" s="229">
        <f>I33+L33+O33</f>
        <v>0</v>
      </c>
      <c r="G33" s="857">
        <v>0</v>
      </c>
      <c r="H33" s="229"/>
      <c r="I33" s="229"/>
      <c r="J33" s="857">
        <f>D33</f>
        <v>0.22538</v>
      </c>
      <c r="K33" s="229"/>
      <c r="L33" s="229"/>
      <c r="M33" s="857">
        <v>0</v>
      </c>
      <c r="N33" s="229"/>
      <c r="O33" s="229"/>
      <c r="P33" s="522">
        <v>0</v>
      </c>
      <c r="Q33" s="883">
        <f>0.07411*1.18</f>
        <v>0.0874498</v>
      </c>
      <c r="R33" s="869">
        <f>E33+F33</f>
        <v>0.0874498</v>
      </c>
      <c r="S33" s="229">
        <f>Q33</f>
        <v>0.0874498</v>
      </c>
      <c r="T33" s="229"/>
      <c r="U33" s="229"/>
      <c r="V33" s="299">
        <f>D33-E33-F33</f>
        <v>0.1379302</v>
      </c>
      <c r="W33" s="229">
        <f>V33</f>
        <v>0.1379302</v>
      </c>
      <c r="X33" s="851">
        <f>W33/D33</f>
        <v>0.6119895287958116</v>
      </c>
      <c r="Y33" s="229"/>
      <c r="Z33" s="229">
        <f>W33</f>
        <v>0.1379302</v>
      </c>
      <c r="AA33" s="7"/>
    </row>
    <row r="34" spans="1:27" ht="15.75">
      <c r="A34" s="278" t="s">
        <v>654</v>
      </c>
      <c r="B34" s="826" t="s">
        <v>802</v>
      </c>
      <c r="C34" s="275"/>
      <c r="D34" s="290">
        <f>SUM(D35)</f>
        <v>0</v>
      </c>
      <c r="E34" s="290">
        <f aca="true" t="shared" si="9" ref="E34:V34">SUM(E35)</f>
        <v>0</v>
      </c>
      <c r="F34" s="290">
        <f t="shared" si="9"/>
        <v>0</v>
      </c>
      <c r="G34" s="290">
        <f t="shared" si="9"/>
        <v>0</v>
      </c>
      <c r="H34" s="290">
        <f t="shared" si="9"/>
        <v>0</v>
      </c>
      <c r="I34" s="290">
        <f t="shared" si="9"/>
        <v>0</v>
      </c>
      <c r="J34" s="290">
        <f t="shared" si="9"/>
        <v>0</v>
      </c>
      <c r="K34" s="290">
        <f t="shared" si="9"/>
        <v>0</v>
      </c>
      <c r="L34" s="290">
        <f t="shared" si="9"/>
        <v>0</v>
      </c>
      <c r="M34" s="290">
        <f t="shared" si="9"/>
        <v>0</v>
      </c>
      <c r="N34" s="290">
        <f t="shared" si="9"/>
        <v>0</v>
      </c>
      <c r="O34" s="290">
        <f t="shared" si="9"/>
        <v>0</v>
      </c>
      <c r="P34" s="290">
        <f t="shared" si="9"/>
        <v>0</v>
      </c>
      <c r="Q34" s="290">
        <f t="shared" si="9"/>
        <v>0</v>
      </c>
      <c r="R34" s="878">
        <f t="shared" si="9"/>
        <v>0</v>
      </c>
      <c r="S34" s="290">
        <f t="shared" si="9"/>
        <v>0</v>
      </c>
      <c r="T34" s="290">
        <f t="shared" si="9"/>
        <v>0</v>
      </c>
      <c r="U34" s="290">
        <f t="shared" si="9"/>
        <v>0</v>
      </c>
      <c r="V34" s="290">
        <f t="shared" si="9"/>
        <v>0</v>
      </c>
      <c r="W34" s="290">
        <f>SUM(W35)</f>
        <v>0</v>
      </c>
      <c r="X34" s="290"/>
      <c r="Y34" s="290">
        <f>SUM(Y35)</f>
        <v>0</v>
      </c>
      <c r="Z34" s="290">
        <f>SUM(Z35)</f>
        <v>0</v>
      </c>
      <c r="AA34" s="277"/>
    </row>
    <row r="35" spans="1:27" ht="23.25" customHeight="1">
      <c r="A35" s="862"/>
      <c r="B35" s="769"/>
      <c r="C35" s="863"/>
      <c r="D35" s="852"/>
      <c r="E35" s="229"/>
      <c r="F35" s="229"/>
      <c r="G35" s="522"/>
      <c r="H35" s="229"/>
      <c r="I35" s="229"/>
      <c r="J35" s="522"/>
      <c r="K35" s="229"/>
      <c r="L35" s="229"/>
      <c r="M35" s="522"/>
      <c r="N35" s="229"/>
      <c r="O35" s="229"/>
      <c r="P35" s="522"/>
      <c r="Q35" s="229"/>
      <c r="R35" s="869">
        <f>E35+F35</f>
        <v>0</v>
      </c>
      <c r="S35" s="229">
        <f>N35+O35</f>
        <v>0</v>
      </c>
      <c r="T35" s="229"/>
      <c r="U35" s="229"/>
      <c r="V35" s="299"/>
      <c r="W35" s="229">
        <f>V35</f>
        <v>0</v>
      </c>
      <c r="X35" s="851"/>
      <c r="Y35" s="229"/>
      <c r="Z35" s="229"/>
      <c r="AA35" s="7"/>
    </row>
    <row r="36" spans="1:27" ht="36" customHeight="1">
      <c r="A36" s="822" t="s">
        <v>613</v>
      </c>
      <c r="B36" s="864" t="s">
        <v>844</v>
      </c>
      <c r="C36" s="823"/>
      <c r="D36" s="824">
        <f>D37</f>
        <v>3.0091888</v>
      </c>
      <c r="E36" s="824">
        <f>E37</f>
        <v>3.0185462</v>
      </c>
      <c r="F36" s="824">
        <f>F37</f>
        <v>0</v>
      </c>
      <c r="G36" s="824">
        <f aca="true" t="shared" si="10" ref="G36:W36">G37</f>
        <v>0</v>
      </c>
      <c r="H36" s="824">
        <f t="shared" si="10"/>
        <v>0</v>
      </c>
      <c r="I36" s="824">
        <f>I37</f>
        <v>0</v>
      </c>
      <c r="J36" s="824">
        <f t="shared" si="10"/>
        <v>0</v>
      </c>
      <c r="K36" s="824">
        <f t="shared" si="10"/>
        <v>3.0029112</v>
      </c>
      <c r="L36" s="824">
        <f>L37</f>
        <v>0</v>
      </c>
      <c r="M36" s="824">
        <f t="shared" si="10"/>
        <v>3.0091888</v>
      </c>
      <c r="N36" s="824">
        <f t="shared" si="10"/>
        <v>0.015635</v>
      </c>
      <c r="O36" s="824">
        <f>O37</f>
        <v>0</v>
      </c>
      <c r="P36" s="824">
        <f t="shared" si="10"/>
        <v>0</v>
      </c>
      <c r="Q36" s="824">
        <f t="shared" si="10"/>
        <v>0</v>
      </c>
      <c r="R36" s="877">
        <f t="shared" si="10"/>
        <v>3.0185462</v>
      </c>
      <c r="S36" s="824">
        <f t="shared" si="10"/>
        <v>0</v>
      </c>
      <c r="T36" s="824">
        <f t="shared" si="10"/>
        <v>2.997082</v>
      </c>
      <c r="U36" s="824">
        <f t="shared" si="10"/>
        <v>0</v>
      </c>
      <c r="V36" s="824">
        <f t="shared" si="10"/>
        <v>-0.009357399999999804</v>
      </c>
      <c r="W36" s="824">
        <f t="shared" si="10"/>
        <v>-0.009357399999999804</v>
      </c>
      <c r="X36" s="824"/>
      <c r="Y36" s="824">
        <f>Y37</f>
        <v>0</v>
      </c>
      <c r="Z36" s="824">
        <f>Z37</f>
        <v>-0.009357399999999804</v>
      </c>
      <c r="AA36" s="825"/>
    </row>
    <row r="37" spans="1:27" s="657" customFormat="1" ht="15.75">
      <c r="A37" s="842" t="s">
        <v>312</v>
      </c>
      <c r="B37" s="843" t="s">
        <v>561</v>
      </c>
      <c r="C37" s="844"/>
      <c r="D37" s="845">
        <f>SUM(D38:D40)</f>
        <v>3.0091888</v>
      </c>
      <c r="E37" s="845">
        <f>SUM(E38:E40)</f>
        <v>3.0185462</v>
      </c>
      <c r="F37" s="845">
        <f>SUM(F38:F40)</f>
        <v>0</v>
      </c>
      <c r="G37" s="860">
        <f>SUM(G38:G39)</f>
        <v>0</v>
      </c>
      <c r="H37" s="845">
        <f>SUM(H38:H40)</f>
        <v>0</v>
      </c>
      <c r="I37" s="845">
        <f>SUM(I38:I40)</f>
        <v>0</v>
      </c>
      <c r="J37" s="860">
        <f>SUM(J38:J39)</f>
        <v>0</v>
      </c>
      <c r="K37" s="845">
        <f>SUM(K38:K40)</f>
        <v>3.0029112</v>
      </c>
      <c r="L37" s="845">
        <f>SUM(L38:L40)</f>
        <v>0</v>
      </c>
      <c r="M37" s="860">
        <f>SUM(M38:M39)</f>
        <v>3.0091888</v>
      </c>
      <c r="N37" s="845">
        <f>SUM(N38:N40)</f>
        <v>0.015635</v>
      </c>
      <c r="O37" s="845">
        <f>SUM(O38:O40)</f>
        <v>0</v>
      </c>
      <c r="P37" s="860">
        <f>SUM(P38:P39)</f>
        <v>0</v>
      </c>
      <c r="Q37" s="845">
        <f aca="true" t="shared" si="11" ref="Q37:W37">SUM(Q38:Q40)</f>
        <v>0</v>
      </c>
      <c r="R37" s="879">
        <f t="shared" si="11"/>
        <v>3.0185462</v>
      </c>
      <c r="S37" s="845">
        <f t="shared" si="11"/>
        <v>0</v>
      </c>
      <c r="T37" s="845">
        <f t="shared" si="11"/>
        <v>2.997082</v>
      </c>
      <c r="U37" s="845">
        <f t="shared" si="11"/>
        <v>0</v>
      </c>
      <c r="V37" s="845">
        <f t="shared" si="11"/>
        <v>-0.009357399999999804</v>
      </c>
      <c r="W37" s="845">
        <f t="shared" si="11"/>
        <v>-0.009357399999999804</v>
      </c>
      <c r="X37" s="654"/>
      <c r="Y37" s="845">
        <f>SUM(Y38:Y40)</f>
        <v>0</v>
      </c>
      <c r="Z37" s="845">
        <f>SUM(Z38:Z40)</f>
        <v>-0.009357399999999804</v>
      </c>
      <c r="AA37" s="846"/>
    </row>
    <row r="38" spans="1:27" ht="23.25" customHeight="1">
      <c r="A38" s="19">
        <v>1</v>
      </c>
      <c r="B38" s="5" t="s">
        <v>988</v>
      </c>
      <c r="C38" s="5"/>
      <c r="D38" s="229">
        <v>1.5045944</v>
      </c>
      <c r="E38" s="229">
        <f>H38+K38+N38+Q38</f>
        <v>1.4919684</v>
      </c>
      <c r="F38" s="229">
        <f>I38+L38+O38</f>
        <v>0</v>
      </c>
      <c r="G38" s="857">
        <v>0</v>
      </c>
      <c r="H38" s="229"/>
      <c r="I38" s="229"/>
      <c r="J38" s="857">
        <v>0</v>
      </c>
      <c r="K38" s="869">
        <f>1264.38*1.18/1000</f>
        <v>1.4919684</v>
      </c>
      <c r="L38" s="229"/>
      <c r="M38" s="857">
        <f>D38</f>
        <v>1.5045944</v>
      </c>
      <c r="N38" s="869"/>
      <c r="O38" s="229"/>
      <c r="P38" s="522">
        <v>0</v>
      </c>
      <c r="Q38" s="229"/>
      <c r="R38" s="869">
        <f>E38+F38</f>
        <v>1.4919684</v>
      </c>
      <c r="S38" s="229">
        <f>N38+O38</f>
        <v>0</v>
      </c>
      <c r="T38" s="229">
        <f>E38</f>
        <v>1.4919684</v>
      </c>
      <c r="U38" s="229">
        <f>O38</f>
        <v>0</v>
      </c>
      <c r="V38" s="299">
        <f>D38-E38-F38</f>
        <v>0.012626000000000026</v>
      </c>
      <c r="W38" s="229">
        <f>V38</f>
        <v>0.012626000000000026</v>
      </c>
      <c r="X38" s="851">
        <v>0</v>
      </c>
      <c r="Y38" s="229"/>
      <c r="Z38" s="229">
        <f>W38</f>
        <v>0.012626000000000026</v>
      </c>
      <c r="AA38" s="7"/>
    </row>
    <row r="39" spans="1:27" ht="23.25" customHeight="1">
      <c r="A39" s="19">
        <v>2</v>
      </c>
      <c r="B39" s="5" t="s">
        <v>989</v>
      </c>
      <c r="C39" s="5"/>
      <c r="D39" s="229">
        <v>1.5045944</v>
      </c>
      <c r="E39" s="229">
        <f>H39+K39+N39+Q39</f>
        <v>1.5051135999999998</v>
      </c>
      <c r="F39" s="229">
        <f>I39+L39+O39</f>
        <v>0</v>
      </c>
      <c r="G39" s="857">
        <v>0</v>
      </c>
      <c r="H39" s="229"/>
      <c r="I39" s="229"/>
      <c r="J39" s="857">
        <v>0</v>
      </c>
      <c r="K39" s="869">
        <f>1275.52*1.18/1000</f>
        <v>1.5051135999999998</v>
      </c>
      <c r="L39" s="229"/>
      <c r="M39" s="857">
        <f>D39</f>
        <v>1.5045944</v>
      </c>
      <c r="N39" s="869"/>
      <c r="O39" s="229"/>
      <c r="P39" s="522">
        <v>0</v>
      </c>
      <c r="Q39" s="229"/>
      <c r="R39" s="869">
        <f>E39+F39</f>
        <v>1.5051135999999998</v>
      </c>
      <c r="S39" s="229">
        <f>N39+O39</f>
        <v>0</v>
      </c>
      <c r="T39" s="229">
        <f>E39</f>
        <v>1.5051135999999998</v>
      </c>
      <c r="U39" s="229">
        <f>O39</f>
        <v>0</v>
      </c>
      <c r="V39" s="299">
        <f>D39-E39-F39</f>
        <v>-0.0005191999999998309</v>
      </c>
      <c r="W39" s="229">
        <f>V39</f>
        <v>-0.0005191999999998309</v>
      </c>
      <c r="X39" s="851">
        <v>0</v>
      </c>
      <c r="Y39" s="229"/>
      <c r="Z39" s="229">
        <f>W39</f>
        <v>-0.0005191999999998309</v>
      </c>
      <c r="AA39" s="7"/>
    </row>
    <row r="40" spans="1:27" ht="23.25" customHeight="1">
      <c r="A40" s="19">
        <v>3</v>
      </c>
      <c r="B40" s="5" t="s">
        <v>991</v>
      </c>
      <c r="C40" s="5"/>
      <c r="D40" s="229">
        <v>0</v>
      </c>
      <c r="E40" s="229">
        <f>H40+K40+N40+Q40</f>
        <v>0.0214642</v>
      </c>
      <c r="F40" s="229">
        <f>I40+L40+O40</f>
        <v>0</v>
      </c>
      <c r="G40" s="857">
        <f>D40/4</f>
        <v>0</v>
      </c>
      <c r="H40" s="229"/>
      <c r="I40" s="229"/>
      <c r="J40" s="857">
        <f>D40/4</f>
        <v>0</v>
      </c>
      <c r="K40" s="229">
        <v>0.0058292000000000005</v>
      </c>
      <c r="L40" s="229"/>
      <c r="M40" s="857">
        <f>D40/4</f>
        <v>0</v>
      </c>
      <c r="N40" s="229">
        <v>0.015635</v>
      </c>
      <c r="O40" s="229"/>
      <c r="P40" s="522">
        <f>D40/4</f>
        <v>0</v>
      </c>
      <c r="Q40" s="229"/>
      <c r="R40" s="869">
        <f>E40+F40</f>
        <v>0.0214642</v>
      </c>
      <c r="S40" s="229">
        <f>Q40</f>
        <v>0</v>
      </c>
      <c r="T40" s="229">
        <f>F40</f>
        <v>0</v>
      </c>
      <c r="U40" s="229">
        <f>O40</f>
        <v>0</v>
      </c>
      <c r="V40" s="299">
        <f>D40-E40-F40</f>
        <v>-0.0214642</v>
      </c>
      <c r="W40" s="229">
        <f>V40</f>
        <v>-0.0214642</v>
      </c>
      <c r="X40" s="851"/>
      <c r="Y40" s="229"/>
      <c r="Z40" s="229">
        <f>W40</f>
        <v>-0.0214642</v>
      </c>
      <c r="AA40" s="868" t="s">
        <v>983</v>
      </c>
    </row>
    <row r="41" spans="1:27" ht="36" customHeight="1">
      <c r="A41" s="822" t="s">
        <v>623</v>
      </c>
      <c r="B41" s="823" t="s">
        <v>798</v>
      </c>
      <c r="C41" s="823"/>
      <c r="D41" s="824">
        <f aca="true" t="shared" si="12" ref="D41:R41">D42+D43+D46+D54+D62+D77+D81</f>
        <v>24.935134599999998</v>
      </c>
      <c r="E41" s="824">
        <f t="shared" si="12"/>
        <v>44.53892299999999</v>
      </c>
      <c r="F41" s="824">
        <f t="shared" si="12"/>
        <v>0</v>
      </c>
      <c r="G41" s="824">
        <f t="shared" si="12"/>
        <v>0</v>
      </c>
      <c r="H41" s="824">
        <f t="shared" si="12"/>
        <v>3.1522992</v>
      </c>
      <c r="I41" s="824">
        <f t="shared" si="12"/>
        <v>0</v>
      </c>
      <c r="J41" s="824">
        <f t="shared" si="12"/>
        <v>9.7125466</v>
      </c>
      <c r="K41" s="824">
        <f t="shared" si="12"/>
        <v>2.3501588</v>
      </c>
      <c r="L41" s="824">
        <f t="shared" si="12"/>
        <v>0</v>
      </c>
      <c r="M41" s="824">
        <f t="shared" si="12"/>
        <v>14.4883134</v>
      </c>
      <c r="N41" s="824">
        <f t="shared" si="12"/>
        <v>11.772647599999999</v>
      </c>
      <c r="O41" s="824">
        <f t="shared" si="12"/>
        <v>0</v>
      </c>
      <c r="P41" s="824">
        <f t="shared" si="12"/>
        <v>0.7345028</v>
      </c>
      <c r="Q41" s="824">
        <f t="shared" si="12"/>
        <v>27.263817399999994</v>
      </c>
      <c r="R41" s="877">
        <f t="shared" si="12"/>
        <v>44.53892299999999</v>
      </c>
      <c r="S41" s="824">
        <f>S42+S43+S46+S54+S62+S77+S81</f>
        <v>27.263817399999994</v>
      </c>
      <c r="T41" s="824">
        <f>T42+T43+T46+T54+T62+T77+T81</f>
        <v>15.272846199999998</v>
      </c>
      <c r="U41" s="824">
        <f>U42+U43+U46+U54+U62+U77+U81</f>
        <v>10.8467252</v>
      </c>
      <c r="V41" s="824">
        <f>V42+V43+V46+V54+V62+V77+V81</f>
        <v>-19.6037884</v>
      </c>
      <c r="W41" s="824">
        <f>W42+W43+W46+W54+W62+W77+W81</f>
        <v>-19.586088399999998</v>
      </c>
      <c r="X41" s="824"/>
      <c r="Y41" s="824">
        <f>Y42+Y43+Y46+Y54+Y62+Y77+Y81</f>
        <v>0</v>
      </c>
      <c r="Z41" s="824">
        <f>Z42+Z43+Z46+Z54+Z62+Z77+Z81</f>
        <v>-19.586088399999998</v>
      </c>
      <c r="AA41" s="825"/>
    </row>
    <row r="42" spans="1:27" ht="15.75">
      <c r="A42" s="278" t="s">
        <v>817</v>
      </c>
      <c r="B42" s="826" t="s">
        <v>816</v>
      </c>
      <c r="C42" s="275"/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0</v>
      </c>
      <c r="P42" s="290">
        <v>0</v>
      </c>
      <c r="Q42" s="290">
        <v>0</v>
      </c>
      <c r="R42" s="878">
        <v>0</v>
      </c>
      <c r="S42" s="290">
        <v>0</v>
      </c>
      <c r="T42" s="290">
        <v>0</v>
      </c>
      <c r="U42" s="290">
        <v>0</v>
      </c>
      <c r="V42" s="290">
        <v>0</v>
      </c>
      <c r="W42" s="290">
        <v>0</v>
      </c>
      <c r="X42" s="290"/>
      <c r="Y42" s="290">
        <v>0</v>
      </c>
      <c r="Z42" s="290">
        <v>0</v>
      </c>
      <c r="AA42" s="277"/>
    </row>
    <row r="43" spans="1:27" ht="15.75">
      <c r="A43" s="278" t="s">
        <v>706</v>
      </c>
      <c r="B43" s="826" t="s">
        <v>799</v>
      </c>
      <c r="C43" s="275"/>
      <c r="D43" s="290">
        <f>D44</f>
        <v>0</v>
      </c>
      <c r="E43" s="290">
        <f aca="true" t="shared" si="13" ref="E43:Z43">E44</f>
        <v>11.4431444</v>
      </c>
      <c r="F43" s="290">
        <f t="shared" si="13"/>
        <v>0</v>
      </c>
      <c r="G43" s="290">
        <f t="shared" si="13"/>
        <v>0</v>
      </c>
      <c r="H43" s="290">
        <f t="shared" si="13"/>
        <v>0</v>
      </c>
      <c r="I43" s="290">
        <f t="shared" si="13"/>
        <v>0</v>
      </c>
      <c r="J43" s="290">
        <f t="shared" si="13"/>
        <v>0</v>
      </c>
      <c r="K43" s="290">
        <f t="shared" si="13"/>
        <v>0</v>
      </c>
      <c r="L43" s="290">
        <f t="shared" si="13"/>
        <v>0</v>
      </c>
      <c r="M43" s="290">
        <f t="shared" si="13"/>
        <v>0</v>
      </c>
      <c r="N43" s="290">
        <f t="shared" si="13"/>
        <v>0</v>
      </c>
      <c r="O43" s="290">
        <f t="shared" si="13"/>
        <v>0</v>
      </c>
      <c r="P43" s="290">
        <f t="shared" si="13"/>
        <v>0</v>
      </c>
      <c r="Q43" s="290">
        <f t="shared" si="13"/>
        <v>11.4431444</v>
      </c>
      <c r="R43" s="290">
        <f t="shared" si="13"/>
        <v>11.4431444</v>
      </c>
      <c r="S43" s="290">
        <f t="shared" si="13"/>
        <v>11.4431444</v>
      </c>
      <c r="T43" s="290">
        <f t="shared" si="13"/>
        <v>0</v>
      </c>
      <c r="U43" s="290">
        <f t="shared" si="13"/>
        <v>0</v>
      </c>
      <c r="V43" s="290">
        <f t="shared" si="13"/>
        <v>-11.4431444</v>
      </c>
      <c r="W43" s="290">
        <f t="shared" si="13"/>
        <v>-11.4431444</v>
      </c>
      <c r="X43" s="290">
        <f t="shared" si="13"/>
        <v>0</v>
      </c>
      <c r="Y43" s="290">
        <f t="shared" si="13"/>
        <v>0</v>
      </c>
      <c r="Z43" s="290">
        <f t="shared" si="13"/>
        <v>-11.4431444</v>
      </c>
      <c r="AA43" s="277"/>
    </row>
    <row r="44" spans="1:27" s="657" customFormat="1" ht="15.75">
      <c r="A44" s="842" t="s">
        <v>1004</v>
      </c>
      <c r="B44" s="843" t="s">
        <v>561</v>
      </c>
      <c r="C44" s="844"/>
      <c r="D44" s="845">
        <f>SUM(D45)</f>
        <v>0</v>
      </c>
      <c r="E44" s="845">
        <f aca="true" t="shared" si="14" ref="E44:Z44">SUM(E45)</f>
        <v>11.4431444</v>
      </c>
      <c r="F44" s="845">
        <f t="shared" si="14"/>
        <v>0</v>
      </c>
      <c r="G44" s="845">
        <f t="shared" si="14"/>
        <v>0</v>
      </c>
      <c r="H44" s="845">
        <f t="shared" si="14"/>
        <v>0</v>
      </c>
      <c r="I44" s="845">
        <f t="shared" si="14"/>
        <v>0</v>
      </c>
      <c r="J44" s="845">
        <f t="shared" si="14"/>
        <v>0</v>
      </c>
      <c r="K44" s="845">
        <f t="shared" si="14"/>
        <v>0</v>
      </c>
      <c r="L44" s="845">
        <f t="shared" si="14"/>
        <v>0</v>
      </c>
      <c r="M44" s="845">
        <f t="shared" si="14"/>
        <v>0</v>
      </c>
      <c r="N44" s="845">
        <f t="shared" si="14"/>
        <v>0</v>
      </c>
      <c r="O44" s="845">
        <f t="shared" si="14"/>
        <v>0</v>
      </c>
      <c r="P44" s="845">
        <f t="shared" si="14"/>
        <v>0</v>
      </c>
      <c r="Q44" s="845">
        <f t="shared" si="14"/>
        <v>11.4431444</v>
      </c>
      <c r="R44" s="845">
        <f t="shared" si="14"/>
        <v>11.4431444</v>
      </c>
      <c r="S44" s="845">
        <f t="shared" si="14"/>
        <v>11.4431444</v>
      </c>
      <c r="T44" s="845">
        <f t="shared" si="14"/>
        <v>0</v>
      </c>
      <c r="U44" s="845">
        <f t="shared" si="14"/>
        <v>0</v>
      </c>
      <c r="V44" s="845">
        <f t="shared" si="14"/>
        <v>-11.4431444</v>
      </c>
      <c r="W44" s="845">
        <f t="shared" si="14"/>
        <v>-11.4431444</v>
      </c>
      <c r="X44" s="845">
        <f t="shared" si="14"/>
        <v>0</v>
      </c>
      <c r="Y44" s="845">
        <f t="shared" si="14"/>
        <v>0</v>
      </c>
      <c r="Z44" s="845">
        <f t="shared" si="14"/>
        <v>-11.4431444</v>
      </c>
      <c r="AA44" s="846"/>
    </row>
    <row r="45" spans="1:27" s="18" customFormat="1" ht="31.5">
      <c r="A45" s="19">
        <v>1</v>
      </c>
      <c r="B45" s="5" t="s">
        <v>1005</v>
      </c>
      <c r="C45" s="27"/>
      <c r="D45" s="229">
        <v>0</v>
      </c>
      <c r="E45" s="229">
        <f>H45+K45+N45+Q45</f>
        <v>11.4431444</v>
      </c>
      <c r="F45" s="229">
        <f>I45+L45+O45</f>
        <v>0</v>
      </c>
      <c r="G45" s="857">
        <v>0</v>
      </c>
      <c r="H45" s="227"/>
      <c r="I45" s="227"/>
      <c r="J45" s="857">
        <f>D45/4</f>
        <v>0</v>
      </c>
      <c r="K45" s="229"/>
      <c r="L45" s="229"/>
      <c r="M45" s="857">
        <f>D45/4</f>
        <v>0</v>
      </c>
      <c r="N45" s="229"/>
      <c r="O45" s="229"/>
      <c r="P45" s="522">
        <f>D45/4</f>
        <v>0</v>
      </c>
      <c r="Q45" s="229">
        <f>9.69758*1.18</f>
        <v>11.4431444</v>
      </c>
      <c r="R45" s="869">
        <f>E45+F45</f>
        <v>11.4431444</v>
      </c>
      <c r="S45" s="229">
        <f>Q45</f>
        <v>11.4431444</v>
      </c>
      <c r="T45" s="227"/>
      <c r="U45" s="227"/>
      <c r="V45" s="299">
        <f>D45-E45</f>
        <v>-11.4431444</v>
      </c>
      <c r="W45" s="229">
        <f>V45</f>
        <v>-11.4431444</v>
      </c>
      <c r="X45" s="851"/>
      <c r="Y45" s="227"/>
      <c r="Z45" s="229">
        <f>W45</f>
        <v>-11.4431444</v>
      </c>
      <c r="AA45" s="7" t="s">
        <v>1023</v>
      </c>
    </row>
    <row r="46" spans="1:27" ht="15.75">
      <c r="A46" s="278" t="s">
        <v>707</v>
      </c>
      <c r="B46" s="826" t="s">
        <v>796</v>
      </c>
      <c r="C46" s="275"/>
      <c r="D46" s="290">
        <f>D47+D51</f>
        <v>9.7630132</v>
      </c>
      <c r="E46" s="290">
        <f aca="true" t="shared" si="15" ref="E46:W46">E47+E51</f>
        <v>9.1129748</v>
      </c>
      <c r="F46" s="290">
        <f>F47+F51</f>
        <v>0</v>
      </c>
      <c r="G46" s="290">
        <f t="shared" si="15"/>
        <v>0</v>
      </c>
      <c r="H46" s="290">
        <f t="shared" si="15"/>
        <v>3.1522992</v>
      </c>
      <c r="I46" s="290">
        <f>I47+I51</f>
        <v>0</v>
      </c>
      <c r="J46" s="290">
        <f t="shared" si="15"/>
        <v>2.32</v>
      </c>
      <c r="K46" s="290">
        <f t="shared" si="15"/>
        <v>0</v>
      </c>
      <c r="L46" s="290">
        <f>L47+L51</f>
        <v>0</v>
      </c>
      <c r="M46" s="290">
        <f t="shared" si="15"/>
        <v>7.443241399999999</v>
      </c>
      <c r="N46" s="290">
        <f>N47+N51</f>
        <v>3.0881307999999996</v>
      </c>
      <c r="O46" s="290">
        <f>O47+O51</f>
        <v>0</v>
      </c>
      <c r="P46" s="290">
        <f t="shared" si="15"/>
        <v>0</v>
      </c>
      <c r="Q46" s="290">
        <f t="shared" si="15"/>
        <v>2.8725447999999996</v>
      </c>
      <c r="R46" s="878">
        <f t="shared" si="15"/>
        <v>9.1129748</v>
      </c>
      <c r="S46" s="290">
        <f t="shared" si="15"/>
        <v>2.8725447999999996</v>
      </c>
      <c r="T46" s="290">
        <f t="shared" si="15"/>
        <v>3.1699992</v>
      </c>
      <c r="U46" s="290">
        <f t="shared" si="15"/>
        <v>3.1699992</v>
      </c>
      <c r="V46" s="290">
        <f t="shared" si="15"/>
        <v>0.6500384000000001</v>
      </c>
      <c r="W46" s="290">
        <f t="shared" si="15"/>
        <v>0.6677384000000002</v>
      </c>
      <c r="X46" s="276"/>
      <c r="Y46" s="290">
        <f>Y47+Y51</f>
        <v>0</v>
      </c>
      <c r="Z46" s="290">
        <f>Z47+Z51</f>
        <v>0.6677384000000002</v>
      </c>
      <c r="AA46" s="277"/>
    </row>
    <row r="47" spans="1:27" s="657" customFormat="1" ht="15.75">
      <c r="A47" s="842" t="s">
        <v>845</v>
      </c>
      <c r="B47" s="843" t="s">
        <v>561</v>
      </c>
      <c r="C47" s="844"/>
      <c r="D47" s="845">
        <f>SUM(D48:D50)</f>
        <v>0.236</v>
      </c>
      <c r="E47" s="845">
        <f aca="true" t="shared" si="16" ref="E47:V47">SUM(E48:E50)</f>
        <v>3.3341136</v>
      </c>
      <c r="F47" s="845">
        <f t="shared" si="16"/>
        <v>0</v>
      </c>
      <c r="G47" s="845">
        <f t="shared" si="16"/>
        <v>0</v>
      </c>
      <c r="H47" s="845">
        <f t="shared" si="16"/>
        <v>3.1522992</v>
      </c>
      <c r="I47" s="845">
        <f t="shared" si="16"/>
        <v>0</v>
      </c>
      <c r="J47" s="845">
        <f t="shared" si="16"/>
        <v>0</v>
      </c>
      <c r="K47" s="845">
        <f t="shared" si="16"/>
        <v>0</v>
      </c>
      <c r="L47" s="845">
        <f t="shared" si="16"/>
        <v>0</v>
      </c>
      <c r="M47" s="845">
        <f t="shared" si="16"/>
        <v>0.236</v>
      </c>
      <c r="N47" s="845">
        <f t="shared" si="16"/>
        <v>0.1641144</v>
      </c>
      <c r="O47" s="845">
        <f t="shared" si="16"/>
        <v>0</v>
      </c>
      <c r="P47" s="845">
        <f t="shared" si="16"/>
        <v>0</v>
      </c>
      <c r="Q47" s="845">
        <f t="shared" si="16"/>
        <v>0.017699999999999997</v>
      </c>
      <c r="R47" s="845">
        <f t="shared" si="16"/>
        <v>3.3341136</v>
      </c>
      <c r="S47" s="845">
        <f t="shared" si="16"/>
        <v>0.017699999999999997</v>
      </c>
      <c r="T47" s="845">
        <f t="shared" si="16"/>
        <v>3.1699992</v>
      </c>
      <c r="U47" s="845">
        <f t="shared" si="16"/>
        <v>3.1699992</v>
      </c>
      <c r="V47" s="845">
        <f t="shared" si="16"/>
        <v>-3.0981136</v>
      </c>
      <c r="W47" s="845">
        <f>SUM(W48:W49)</f>
        <v>-3.0804136</v>
      </c>
      <c r="X47" s="654"/>
      <c r="Y47" s="845">
        <f>SUM(Y48:Y49)</f>
        <v>0</v>
      </c>
      <c r="Z47" s="845">
        <f>SUM(Z48:Z49)</f>
        <v>-3.0804136</v>
      </c>
      <c r="AA47" s="846"/>
    </row>
    <row r="48" spans="1:27" s="18" customFormat="1" ht="31.5">
      <c r="A48" s="19">
        <v>1</v>
      </c>
      <c r="B48" s="865" t="s">
        <v>950</v>
      </c>
      <c r="C48" s="27"/>
      <c r="D48" s="229">
        <v>0.236</v>
      </c>
      <c r="E48" s="229">
        <f>H48+K48+N48+Q48</f>
        <v>0.1641144</v>
      </c>
      <c r="F48" s="229">
        <f>I48+L48+O48</f>
        <v>0</v>
      </c>
      <c r="G48" s="857">
        <v>0</v>
      </c>
      <c r="H48" s="229"/>
      <c r="I48" s="229"/>
      <c r="J48" s="857">
        <v>0</v>
      </c>
      <c r="K48" s="229"/>
      <c r="L48" s="229"/>
      <c r="M48" s="857">
        <f>D48</f>
        <v>0.236</v>
      </c>
      <c r="N48" s="229">
        <f>0.13908*1.18</f>
        <v>0.1641144</v>
      </c>
      <c r="O48" s="229"/>
      <c r="P48" s="522">
        <v>0</v>
      </c>
      <c r="Q48" s="227"/>
      <c r="R48" s="869">
        <f>E48+F48</f>
        <v>0.1641144</v>
      </c>
      <c r="S48" s="229">
        <f>Q48</f>
        <v>0</v>
      </c>
      <c r="T48" s="227"/>
      <c r="U48" s="227"/>
      <c r="V48" s="299">
        <f>D48-E48-F48</f>
        <v>0.0718856</v>
      </c>
      <c r="W48" s="229">
        <f>V48</f>
        <v>0.0718856</v>
      </c>
      <c r="X48" s="851">
        <f>W48/D48</f>
        <v>0.3046</v>
      </c>
      <c r="Y48" s="227"/>
      <c r="Z48" s="229">
        <f>W48</f>
        <v>0.0718856</v>
      </c>
      <c r="AA48" s="7"/>
    </row>
    <row r="49" spans="1:27" s="18" customFormat="1" ht="36.75" customHeight="1">
      <c r="A49" s="19">
        <v>2</v>
      </c>
      <c r="B49" s="865" t="s">
        <v>975</v>
      </c>
      <c r="C49" s="27"/>
      <c r="D49" s="229">
        <v>0</v>
      </c>
      <c r="E49" s="229">
        <f>H49+K49+N49+Q49</f>
        <v>3.1522992</v>
      </c>
      <c r="F49" s="229">
        <f>I49+L49+O49</f>
        <v>0</v>
      </c>
      <c r="G49" s="857">
        <f>D49/4</f>
        <v>0</v>
      </c>
      <c r="H49" s="229">
        <v>3.1522992</v>
      </c>
      <c r="I49" s="229"/>
      <c r="J49" s="857">
        <f>D49/4</f>
        <v>0</v>
      </c>
      <c r="K49" s="229"/>
      <c r="L49" s="229"/>
      <c r="M49" s="857">
        <f>D49/4</f>
        <v>0</v>
      </c>
      <c r="N49" s="229"/>
      <c r="O49" s="229"/>
      <c r="P49" s="522">
        <f>D49/4</f>
        <v>0</v>
      </c>
      <c r="Q49" s="227"/>
      <c r="R49" s="869">
        <f>E49+F49</f>
        <v>3.1522992</v>
      </c>
      <c r="S49" s="229">
        <f>Q49</f>
        <v>0</v>
      </c>
      <c r="T49" s="229">
        <f>E49+F49</f>
        <v>3.1522992</v>
      </c>
      <c r="U49" s="229">
        <f>T49</f>
        <v>3.1522992</v>
      </c>
      <c r="V49" s="299">
        <f>D49-E49-F49</f>
        <v>-3.1522992</v>
      </c>
      <c r="W49" s="229">
        <f>V49</f>
        <v>-3.1522992</v>
      </c>
      <c r="X49" s="6"/>
      <c r="Y49" s="227"/>
      <c r="Z49" s="229">
        <f>W49</f>
        <v>-3.1522992</v>
      </c>
      <c r="AA49" s="868" t="s">
        <v>983</v>
      </c>
    </row>
    <row r="50" spans="1:27" s="18" customFormat="1" ht="51.75" customHeight="1">
      <c r="A50" s="19">
        <v>3</v>
      </c>
      <c r="B50" s="881" t="s">
        <v>1003</v>
      </c>
      <c r="C50" s="27"/>
      <c r="D50" s="229">
        <v>0</v>
      </c>
      <c r="E50" s="229">
        <f>H50+K50+N50+Q50</f>
        <v>0.017699999999999997</v>
      </c>
      <c r="F50" s="229">
        <f>I50+L50+O50</f>
        <v>0</v>
      </c>
      <c r="G50" s="857">
        <f>D50/4</f>
        <v>0</v>
      </c>
      <c r="H50" s="852"/>
      <c r="I50" s="852"/>
      <c r="J50" s="857">
        <f>D50/4</f>
        <v>0</v>
      </c>
      <c r="K50" s="852"/>
      <c r="L50" s="852"/>
      <c r="M50" s="857">
        <f>D50/4</f>
        <v>0</v>
      </c>
      <c r="N50" s="229"/>
      <c r="O50" s="229"/>
      <c r="P50" s="522">
        <f>D50/4</f>
        <v>0</v>
      </c>
      <c r="Q50" s="884">
        <f>0.015*1.18</f>
        <v>0.017699999999999997</v>
      </c>
      <c r="R50" s="869">
        <f>E50+F50</f>
        <v>0.017699999999999997</v>
      </c>
      <c r="S50" s="229">
        <f>Q50</f>
        <v>0.017699999999999997</v>
      </c>
      <c r="T50" s="852">
        <f>E50</f>
        <v>0.017699999999999997</v>
      </c>
      <c r="U50" s="852">
        <f>Q50</f>
        <v>0.017699999999999997</v>
      </c>
      <c r="V50" s="299">
        <f>D50-E50-F50</f>
        <v>-0.017699999999999997</v>
      </c>
      <c r="W50" s="229">
        <f>V50</f>
        <v>-0.017699999999999997</v>
      </c>
      <c r="X50" s="6"/>
      <c r="Y50" s="882"/>
      <c r="Z50" s="229">
        <f>W50</f>
        <v>-0.017699999999999997</v>
      </c>
      <c r="AA50" s="868" t="s">
        <v>983</v>
      </c>
    </row>
    <row r="51" spans="1:27" s="657" customFormat="1" ht="15.75">
      <c r="A51" s="842" t="s">
        <v>846</v>
      </c>
      <c r="B51" s="843" t="s">
        <v>563</v>
      </c>
      <c r="C51" s="844"/>
      <c r="D51" s="845">
        <f aca="true" t="shared" si="17" ref="D51:P51">SUM(D52:D53)</f>
        <v>9.527013199999999</v>
      </c>
      <c r="E51" s="845">
        <f t="shared" si="17"/>
        <v>5.7788612</v>
      </c>
      <c r="F51" s="845">
        <f t="shared" si="17"/>
        <v>0</v>
      </c>
      <c r="G51" s="860">
        <f t="shared" si="17"/>
        <v>0</v>
      </c>
      <c r="H51" s="845">
        <f t="shared" si="17"/>
        <v>0</v>
      </c>
      <c r="I51" s="845">
        <f t="shared" si="17"/>
        <v>0</v>
      </c>
      <c r="J51" s="860">
        <f t="shared" si="17"/>
        <v>2.32</v>
      </c>
      <c r="K51" s="845">
        <f t="shared" si="17"/>
        <v>0</v>
      </c>
      <c r="L51" s="845">
        <f>SUM(L52:L53)</f>
        <v>0</v>
      </c>
      <c r="M51" s="860">
        <f t="shared" si="17"/>
        <v>7.207241399999999</v>
      </c>
      <c r="N51" s="845">
        <f>SUM(N52:N53)</f>
        <v>2.9240163999999997</v>
      </c>
      <c r="O51" s="845">
        <f>SUM(O52:O53)</f>
        <v>0</v>
      </c>
      <c r="P51" s="860">
        <f t="shared" si="17"/>
        <v>0</v>
      </c>
      <c r="Q51" s="845">
        <f aca="true" t="shared" si="18" ref="Q51:W51">SUM(Q52:Q53)</f>
        <v>2.8548447999999995</v>
      </c>
      <c r="R51" s="879">
        <f t="shared" si="18"/>
        <v>5.7788612</v>
      </c>
      <c r="S51" s="845">
        <f t="shared" si="18"/>
        <v>2.8548447999999995</v>
      </c>
      <c r="T51" s="845">
        <f t="shared" si="18"/>
        <v>0</v>
      </c>
      <c r="U51" s="845">
        <f t="shared" si="18"/>
        <v>0</v>
      </c>
      <c r="V51" s="845">
        <f t="shared" si="18"/>
        <v>3.748152</v>
      </c>
      <c r="W51" s="845">
        <f t="shared" si="18"/>
        <v>3.748152</v>
      </c>
      <c r="X51" s="654"/>
      <c r="Y51" s="845">
        <f>SUM(Y52:Y53)</f>
        <v>0</v>
      </c>
      <c r="Z51" s="845">
        <f>SUM(Z52:Z53)</f>
        <v>3.748152</v>
      </c>
      <c r="AA51" s="846"/>
    </row>
    <row r="52" spans="1:27" ht="39.75" customHeight="1">
      <c r="A52" s="19">
        <v>1</v>
      </c>
      <c r="B52" s="865" t="s">
        <v>847</v>
      </c>
      <c r="C52" s="5"/>
      <c r="D52" s="229">
        <v>4.6397718</v>
      </c>
      <c r="E52" s="229">
        <f>H52+K52+N52+Q52</f>
        <v>4.0343374</v>
      </c>
      <c r="F52" s="229">
        <f>I52+L52+O52</f>
        <v>0</v>
      </c>
      <c r="G52" s="857">
        <v>0</v>
      </c>
      <c r="H52" s="229"/>
      <c r="I52" s="229"/>
      <c r="J52" s="857">
        <v>2.32</v>
      </c>
      <c r="K52" s="229"/>
      <c r="L52" s="229"/>
      <c r="M52" s="857">
        <v>2.32</v>
      </c>
      <c r="N52" s="229">
        <f>2.47798*1.18</f>
        <v>2.9240163999999997</v>
      </c>
      <c r="O52" s="229"/>
      <c r="P52" s="522">
        <v>0</v>
      </c>
      <c r="Q52" s="883">
        <f>0.94095*1.18</f>
        <v>1.110321</v>
      </c>
      <c r="R52" s="869">
        <f>E52+F52</f>
        <v>4.0343374</v>
      </c>
      <c r="S52" s="229">
        <f>Q52</f>
        <v>1.110321</v>
      </c>
      <c r="T52" s="229"/>
      <c r="U52" s="229"/>
      <c r="V52" s="299">
        <f>D52-E52-F52</f>
        <v>0.6054344</v>
      </c>
      <c r="W52" s="229">
        <f>V52</f>
        <v>0.6054344</v>
      </c>
      <c r="X52" s="851">
        <f>W52/D52</f>
        <v>0.13048796925745357</v>
      </c>
      <c r="Y52" s="229"/>
      <c r="Z52" s="229">
        <f>W52</f>
        <v>0.6054344</v>
      </c>
      <c r="AA52" s="868" t="s">
        <v>1021</v>
      </c>
    </row>
    <row r="53" spans="1:27" ht="45.75" customHeight="1">
      <c r="A53" s="19">
        <v>2</v>
      </c>
      <c r="B53" s="865" t="s">
        <v>848</v>
      </c>
      <c r="C53" s="5"/>
      <c r="D53" s="229">
        <v>4.8872414</v>
      </c>
      <c r="E53" s="229">
        <f>H53+K53+N53+Q53</f>
        <v>1.7445237999999998</v>
      </c>
      <c r="F53" s="229">
        <f>I53+L53+O53</f>
        <v>0</v>
      </c>
      <c r="G53" s="857">
        <v>0</v>
      </c>
      <c r="H53" s="229"/>
      <c r="I53" s="229"/>
      <c r="J53" s="857">
        <v>0</v>
      </c>
      <c r="K53" s="229"/>
      <c r="L53" s="229"/>
      <c r="M53" s="857">
        <f>D53</f>
        <v>4.8872414</v>
      </c>
      <c r="N53" s="229"/>
      <c r="O53" s="229"/>
      <c r="P53" s="522">
        <v>0</v>
      </c>
      <c r="Q53" s="883">
        <f>1.47841*1.18</f>
        <v>1.7445237999999998</v>
      </c>
      <c r="R53" s="869">
        <f>E53+F53</f>
        <v>1.7445237999999998</v>
      </c>
      <c r="S53" s="229">
        <f>Q53</f>
        <v>1.7445237999999998</v>
      </c>
      <c r="T53" s="229"/>
      <c r="U53" s="229"/>
      <c r="V53" s="299">
        <f>D53-E53-F53</f>
        <v>3.1427176</v>
      </c>
      <c r="W53" s="229">
        <f>V53</f>
        <v>3.1427176</v>
      </c>
      <c r="X53" s="851">
        <f>W53/D53</f>
        <v>0.6430452974964569</v>
      </c>
      <c r="Y53" s="229"/>
      <c r="Z53" s="229">
        <f>W53</f>
        <v>3.1427176</v>
      </c>
      <c r="AA53" s="7" t="s">
        <v>1023</v>
      </c>
    </row>
    <row r="54" spans="1:27" ht="15.75">
      <c r="A54" s="278" t="s">
        <v>708</v>
      </c>
      <c r="B54" s="826" t="s">
        <v>800</v>
      </c>
      <c r="C54" s="275"/>
      <c r="D54" s="290">
        <f>D55+D59</f>
        <v>2.2209841999999997</v>
      </c>
      <c r="E54" s="290">
        <f aca="true" t="shared" si="19" ref="E54:W54">E55+E59</f>
        <v>1.5754652</v>
      </c>
      <c r="F54" s="290">
        <f t="shared" si="19"/>
        <v>0</v>
      </c>
      <c r="G54" s="290">
        <f t="shared" si="19"/>
        <v>0</v>
      </c>
      <c r="H54" s="290">
        <f t="shared" si="19"/>
        <v>0</v>
      </c>
      <c r="I54" s="290">
        <f t="shared" si="19"/>
        <v>0</v>
      </c>
      <c r="J54" s="290">
        <f t="shared" si="19"/>
        <v>1.5094442</v>
      </c>
      <c r="K54" s="290">
        <f t="shared" si="19"/>
        <v>1.1984198</v>
      </c>
      <c r="L54" s="290">
        <f>L55+L59</f>
        <v>0</v>
      </c>
      <c r="M54" s="290">
        <f t="shared" si="19"/>
        <v>0.71154</v>
      </c>
      <c r="N54" s="290">
        <f>N55+N59</f>
        <v>0.3770454</v>
      </c>
      <c r="O54" s="290">
        <f>O55+O59</f>
        <v>0</v>
      </c>
      <c r="P54" s="290">
        <f t="shared" si="19"/>
        <v>0</v>
      </c>
      <c r="Q54" s="290">
        <f t="shared" si="19"/>
        <v>0</v>
      </c>
      <c r="R54" s="878">
        <f t="shared" si="19"/>
        <v>1.5754652</v>
      </c>
      <c r="S54" s="290">
        <f t="shared" si="19"/>
        <v>0</v>
      </c>
      <c r="T54" s="290">
        <f t="shared" si="19"/>
        <v>0</v>
      </c>
      <c r="U54" s="290">
        <f t="shared" si="19"/>
        <v>0</v>
      </c>
      <c r="V54" s="290">
        <f t="shared" si="19"/>
        <v>0.645519</v>
      </c>
      <c r="W54" s="290">
        <f t="shared" si="19"/>
        <v>0.645519</v>
      </c>
      <c r="X54" s="290"/>
      <c r="Y54" s="290">
        <f>Y55+Y59</f>
        <v>0</v>
      </c>
      <c r="Z54" s="290">
        <f>Z55+Z59</f>
        <v>0.645519</v>
      </c>
      <c r="AA54" s="277"/>
    </row>
    <row r="55" spans="1:27" s="657" customFormat="1" ht="15.75">
      <c r="A55" s="842" t="s">
        <v>849</v>
      </c>
      <c r="B55" s="843" t="s">
        <v>561</v>
      </c>
      <c r="C55" s="844"/>
      <c r="D55" s="845">
        <f aca="true" t="shared" si="20" ref="D55:P55">SUM(D56:D58)</f>
        <v>0.41653999999999997</v>
      </c>
      <c r="E55" s="845">
        <f t="shared" si="20"/>
        <v>0.2901266</v>
      </c>
      <c r="F55" s="845">
        <f t="shared" si="20"/>
        <v>0</v>
      </c>
      <c r="G55" s="860">
        <f t="shared" si="20"/>
        <v>0</v>
      </c>
      <c r="H55" s="845">
        <f t="shared" si="20"/>
        <v>0</v>
      </c>
      <c r="I55" s="845">
        <f t="shared" si="20"/>
        <v>0</v>
      </c>
      <c r="J55" s="860">
        <f t="shared" si="20"/>
        <v>0</v>
      </c>
      <c r="K55" s="845">
        <f t="shared" si="20"/>
        <v>0</v>
      </c>
      <c r="L55" s="845">
        <f>SUM(L56:L58)</f>
        <v>0</v>
      </c>
      <c r="M55" s="860">
        <f t="shared" si="20"/>
        <v>0.41653999999999997</v>
      </c>
      <c r="N55" s="845">
        <f>SUM(N56:N58)</f>
        <v>0.2901266</v>
      </c>
      <c r="O55" s="845">
        <f>SUM(O56:O58)</f>
        <v>0</v>
      </c>
      <c r="P55" s="860">
        <f t="shared" si="20"/>
        <v>0</v>
      </c>
      <c r="Q55" s="845">
        <f aca="true" t="shared" si="21" ref="Q55:W55">SUM(Q56:Q58)</f>
        <v>0</v>
      </c>
      <c r="R55" s="879">
        <f t="shared" si="21"/>
        <v>0.2901266</v>
      </c>
      <c r="S55" s="845">
        <f t="shared" si="21"/>
        <v>0</v>
      </c>
      <c r="T55" s="845">
        <f t="shared" si="21"/>
        <v>0</v>
      </c>
      <c r="U55" s="845">
        <f t="shared" si="21"/>
        <v>0</v>
      </c>
      <c r="V55" s="845">
        <f t="shared" si="21"/>
        <v>0.12641339999999998</v>
      </c>
      <c r="W55" s="845">
        <f t="shared" si="21"/>
        <v>0.12641339999999998</v>
      </c>
      <c r="X55" s="654"/>
      <c r="Y55" s="845">
        <f>SUM(Y56:Y58)</f>
        <v>0</v>
      </c>
      <c r="Z55" s="845">
        <f>SUM(Z56:Z58)</f>
        <v>0.12641339999999998</v>
      </c>
      <c r="AA55" s="846"/>
    </row>
    <row r="56" spans="1:27" ht="33.75" customHeight="1">
      <c r="A56" s="19">
        <v>1</v>
      </c>
      <c r="B56" s="865" t="s">
        <v>951</v>
      </c>
      <c r="C56" s="5"/>
      <c r="D56" s="229">
        <v>0.177</v>
      </c>
      <c r="E56" s="229">
        <f>H56+K56+N56+Q56</f>
        <v>0.0981642</v>
      </c>
      <c r="F56" s="229">
        <f>I56+L56+O56</f>
        <v>0</v>
      </c>
      <c r="G56" s="857">
        <v>0</v>
      </c>
      <c r="H56" s="229"/>
      <c r="I56" s="229"/>
      <c r="J56" s="857">
        <v>0</v>
      </c>
      <c r="K56" s="229"/>
      <c r="L56" s="229"/>
      <c r="M56" s="857">
        <f>D56</f>
        <v>0.177</v>
      </c>
      <c r="N56" s="229">
        <f>83.19*1.18/1000</f>
        <v>0.0981642</v>
      </c>
      <c r="O56" s="229"/>
      <c r="P56" s="522">
        <v>0</v>
      </c>
      <c r="Q56" s="229"/>
      <c r="R56" s="869">
        <f>E56+F56</f>
        <v>0.0981642</v>
      </c>
      <c r="S56" s="229">
        <f>Q56</f>
        <v>0</v>
      </c>
      <c r="T56" s="229"/>
      <c r="U56" s="229"/>
      <c r="V56" s="299">
        <f>D56-E56-F56</f>
        <v>0.0788358</v>
      </c>
      <c r="W56" s="229">
        <f>V56</f>
        <v>0.0788358</v>
      </c>
      <c r="X56" s="851">
        <f aca="true" t="shared" si="22" ref="X56:X61">W56/D56</f>
        <v>0.4454</v>
      </c>
      <c r="Y56" s="229"/>
      <c r="Z56" s="229">
        <f>W56</f>
        <v>0.0788358</v>
      </c>
      <c r="AA56" s="7"/>
    </row>
    <row r="57" spans="1:27" ht="62.25" customHeight="1">
      <c r="A57" s="19">
        <v>2</v>
      </c>
      <c r="B57" s="865" t="s">
        <v>954</v>
      </c>
      <c r="C57" s="5"/>
      <c r="D57" s="229">
        <v>0.12153999999999998</v>
      </c>
      <c r="E57" s="229">
        <f>H57+K57+N57+Q57</f>
        <v>0</v>
      </c>
      <c r="F57" s="229">
        <f>I57+L57+O57</f>
        <v>0</v>
      </c>
      <c r="G57" s="857">
        <v>0</v>
      </c>
      <c r="H57" s="229"/>
      <c r="I57" s="229"/>
      <c r="J57" s="857">
        <v>0</v>
      </c>
      <c r="K57" s="229"/>
      <c r="L57" s="229"/>
      <c r="M57" s="857">
        <f>D57</f>
        <v>0.12153999999999998</v>
      </c>
      <c r="N57" s="229"/>
      <c r="O57" s="229"/>
      <c r="P57" s="522">
        <v>0</v>
      </c>
      <c r="Q57" s="229"/>
      <c r="R57" s="869">
        <f>E57+F57</f>
        <v>0</v>
      </c>
      <c r="S57" s="229">
        <f>Q57</f>
        <v>0</v>
      </c>
      <c r="T57" s="229"/>
      <c r="U57" s="229"/>
      <c r="V57" s="299">
        <f>D57-E57-F57</f>
        <v>0.12153999999999998</v>
      </c>
      <c r="W57" s="229">
        <f>V57</f>
        <v>0.12153999999999998</v>
      </c>
      <c r="X57" s="851">
        <f t="shared" si="22"/>
        <v>1</v>
      </c>
      <c r="Y57" s="229"/>
      <c r="Z57" s="229">
        <f>W57</f>
        <v>0.12153999999999998</v>
      </c>
      <c r="AA57" s="7"/>
    </row>
    <row r="58" spans="1:27" ht="63">
      <c r="A58" s="19">
        <v>3</v>
      </c>
      <c r="B58" s="865" t="s">
        <v>955</v>
      </c>
      <c r="C58" s="5"/>
      <c r="D58" s="229">
        <v>0.118</v>
      </c>
      <c r="E58" s="229">
        <f>H58+K58+N58+Q58</f>
        <v>0.1919624</v>
      </c>
      <c r="F58" s="229">
        <f>I58+L58+O58</f>
        <v>0</v>
      </c>
      <c r="G58" s="857">
        <v>0</v>
      </c>
      <c r="H58" s="229"/>
      <c r="I58" s="229"/>
      <c r="J58" s="857">
        <v>0</v>
      </c>
      <c r="K58" s="229"/>
      <c r="L58" s="229"/>
      <c r="M58" s="857">
        <f>D58</f>
        <v>0.118</v>
      </c>
      <c r="N58" s="229">
        <f>162.68*1.18/1000</f>
        <v>0.1919624</v>
      </c>
      <c r="O58" s="229"/>
      <c r="P58" s="522">
        <v>0</v>
      </c>
      <c r="Q58" s="229"/>
      <c r="R58" s="869">
        <f>E58+F58</f>
        <v>0.1919624</v>
      </c>
      <c r="S58" s="229">
        <f>Q58</f>
        <v>0</v>
      </c>
      <c r="T58" s="229"/>
      <c r="U58" s="229"/>
      <c r="V58" s="299">
        <f>D58-E58-F58</f>
        <v>-0.07396240000000001</v>
      </c>
      <c r="W58" s="229">
        <f>V58</f>
        <v>-0.07396240000000001</v>
      </c>
      <c r="X58" s="851">
        <f t="shared" si="22"/>
        <v>-0.6268000000000001</v>
      </c>
      <c r="Y58" s="229"/>
      <c r="Z58" s="229">
        <f>W58</f>
        <v>-0.07396240000000001</v>
      </c>
      <c r="AA58" s="7"/>
    </row>
    <row r="59" spans="1:27" s="657" customFormat="1" ht="15.75">
      <c r="A59" s="842" t="s">
        <v>850</v>
      </c>
      <c r="B59" s="843" t="s">
        <v>562</v>
      </c>
      <c r="C59" s="844"/>
      <c r="D59" s="845">
        <f aca="true" t="shared" si="23" ref="D59:P59">SUM(D60:D61)</f>
        <v>1.8044441999999998</v>
      </c>
      <c r="E59" s="845">
        <f t="shared" si="23"/>
        <v>1.2853386</v>
      </c>
      <c r="F59" s="845">
        <f t="shared" si="23"/>
        <v>0</v>
      </c>
      <c r="G59" s="860">
        <f t="shared" si="23"/>
        <v>0</v>
      </c>
      <c r="H59" s="845">
        <f t="shared" si="23"/>
        <v>0</v>
      </c>
      <c r="I59" s="845">
        <f t="shared" si="23"/>
        <v>0</v>
      </c>
      <c r="J59" s="860">
        <f t="shared" si="23"/>
        <v>1.5094442</v>
      </c>
      <c r="K59" s="845">
        <f t="shared" si="23"/>
        <v>1.1984198</v>
      </c>
      <c r="L59" s="845">
        <f>SUM(L60:L61)</f>
        <v>0</v>
      </c>
      <c r="M59" s="860">
        <f t="shared" si="23"/>
        <v>0.295</v>
      </c>
      <c r="N59" s="845">
        <f>SUM(N60:N61)</f>
        <v>0.08691879999999999</v>
      </c>
      <c r="O59" s="845">
        <f>SUM(O60:O61)</f>
        <v>0</v>
      </c>
      <c r="P59" s="860">
        <f t="shared" si="23"/>
        <v>0</v>
      </c>
      <c r="Q59" s="845">
        <f aca="true" t="shared" si="24" ref="Q59:W59">SUM(Q60:Q61)</f>
        <v>0</v>
      </c>
      <c r="R59" s="879">
        <f t="shared" si="24"/>
        <v>1.2853386</v>
      </c>
      <c r="S59" s="845">
        <f t="shared" si="24"/>
        <v>0</v>
      </c>
      <c r="T59" s="845">
        <f t="shared" si="24"/>
        <v>0</v>
      </c>
      <c r="U59" s="845">
        <f t="shared" si="24"/>
        <v>0</v>
      </c>
      <c r="V59" s="845">
        <f t="shared" si="24"/>
        <v>0.5191056</v>
      </c>
      <c r="W59" s="845">
        <f t="shared" si="24"/>
        <v>0.5191056</v>
      </c>
      <c r="X59" s="654"/>
      <c r="Y59" s="845">
        <f>SUM(Y60:Y61)</f>
        <v>0</v>
      </c>
      <c r="Z59" s="845">
        <f>SUM(Z60:Z61)</f>
        <v>0.5191056</v>
      </c>
      <c r="AA59" s="846"/>
    </row>
    <row r="60" spans="1:27" ht="50.25" customHeight="1">
      <c r="A60" s="19">
        <v>1</v>
      </c>
      <c r="B60" s="865" t="s">
        <v>851</v>
      </c>
      <c r="C60" s="5"/>
      <c r="D60" s="229">
        <v>1.5094442</v>
      </c>
      <c r="E60" s="229">
        <f>H60+K60+N60+Q60</f>
        <v>1.1984198</v>
      </c>
      <c r="F60" s="229">
        <f>I60+L60+O60</f>
        <v>0</v>
      </c>
      <c r="G60" s="857">
        <v>0</v>
      </c>
      <c r="H60" s="229"/>
      <c r="I60" s="229"/>
      <c r="J60" s="857">
        <f>D60</f>
        <v>1.5094442</v>
      </c>
      <c r="K60" s="229">
        <f>1015.61*1.18/1000</f>
        <v>1.1984198</v>
      </c>
      <c r="L60" s="229"/>
      <c r="M60" s="857">
        <v>0</v>
      </c>
      <c r="N60" s="229"/>
      <c r="O60" s="229"/>
      <c r="P60" s="522">
        <v>0</v>
      </c>
      <c r="Q60" s="229"/>
      <c r="R60" s="869">
        <f>E60+F60</f>
        <v>1.1984198</v>
      </c>
      <c r="S60" s="229">
        <f>N60+O60</f>
        <v>0</v>
      </c>
      <c r="T60" s="229"/>
      <c r="U60" s="229"/>
      <c r="V60" s="299">
        <f>D60-E60-F60</f>
        <v>0.3110244</v>
      </c>
      <c r="W60" s="229">
        <f>V60</f>
        <v>0.3110244</v>
      </c>
      <c r="X60" s="851">
        <f t="shared" si="22"/>
        <v>0.206052267450496</v>
      </c>
      <c r="Y60" s="229"/>
      <c r="Z60" s="229">
        <f>W60</f>
        <v>0.3110244</v>
      </c>
      <c r="AA60" s="868" t="s">
        <v>1024</v>
      </c>
    </row>
    <row r="61" spans="1:27" ht="52.5" customHeight="1">
      <c r="A61" s="19">
        <v>2</v>
      </c>
      <c r="B61" s="865" t="s">
        <v>956</v>
      </c>
      <c r="C61" s="5"/>
      <c r="D61" s="229">
        <v>0.295</v>
      </c>
      <c r="E61" s="229">
        <f>H61+K61+N61+Q61</f>
        <v>0.08691879999999999</v>
      </c>
      <c r="F61" s="229">
        <f>I61+L61+O61</f>
        <v>0</v>
      </c>
      <c r="G61" s="857">
        <v>0</v>
      </c>
      <c r="H61" s="229"/>
      <c r="I61" s="229"/>
      <c r="J61" s="857">
        <v>0</v>
      </c>
      <c r="K61" s="229"/>
      <c r="L61" s="229"/>
      <c r="M61" s="857">
        <f>D61</f>
        <v>0.295</v>
      </c>
      <c r="N61" s="229">
        <f>73.66*1.18/1000</f>
        <v>0.08691879999999999</v>
      </c>
      <c r="O61" s="229"/>
      <c r="P61" s="522">
        <v>0</v>
      </c>
      <c r="Q61" s="229"/>
      <c r="R61" s="869">
        <f>E61+F61</f>
        <v>0.08691879999999999</v>
      </c>
      <c r="S61" s="229">
        <f>Q61</f>
        <v>0</v>
      </c>
      <c r="T61" s="229"/>
      <c r="U61" s="229"/>
      <c r="V61" s="299">
        <f>D61-E61-F61</f>
        <v>0.2080812</v>
      </c>
      <c r="W61" s="229">
        <f>V61</f>
        <v>0.2080812</v>
      </c>
      <c r="X61" s="851">
        <f t="shared" si="22"/>
        <v>0.70536</v>
      </c>
      <c r="Y61" s="229"/>
      <c r="Z61" s="229">
        <f>W61</f>
        <v>0.2080812</v>
      </c>
      <c r="AA61" s="7"/>
    </row>
    <row r="62" spans="1:27" ht="15.75">
      <c r="A62" s="278" t="s">
        <v>709</v>
      </c>
      <c r="B62" s="826" t="s">
        <v>801</v>
      </c>
      <c r="C62" s="275"/>
      <c r="D62" s="290">
        <f>D63+D75</f>
        <v>5.807606000000001</v>
      </c>
      <c r="E62" s="290">
        <f aca="true" t="shared" si="25" ref="E62:W62">E63+E75</f>
        <v>9.0941302</v>
      </c>
      <c r="F62" s="290">
        <f t="shared" si="25"/>
        <v>0</v>
      </c>
      <c r="G62" s="290">
        <f t="shared" si="25"/>
        <v>0</v>
      </c>
      <c r="H62" s="290">
        <f t="shared" si="25"/>
        <v>0</v>
      </c>
      <c r="I62" s="290">
        <f t="shared" si="25"/>
        <v>0</v>
      </c>
      <c r="J62" s="290">
        <f t="shared" si="25"/>
        <v>2.8004232</v>
      </c>
      <c r="K62" s="290">
        <f t="shared" si="25"/>
        <v>0.9402593999999999</v>
      </c>
      <c r="L62" s="290">
        <f>L63+L75</f>
        <v>0</v>
      </c>
      <c r="M62" s="290">
        <f t="shared" si="25"/>
        <v>3.0071828</v>
      </c>
      <c r="N62" s="290">
        <f>N63+N75</f>
        <v>5.2465041999999995</v>
      </c>
      <c r="O62" s="290">
        <f>O63+O75</f>
        <v>0</v>
      </c>
      <c r="P62" s="290">
        <f t="shared" si="25"/>
        <v>0</v>
      </c>
      <c r="Q62" s="290">
        <f t="shared" si="25"/>
        <v>2.9073665999999996</v>
      </c>
      <c r="R62" s="878">
        <f t="shared" si="25"/>
        <v>9.0941302</v>
      </c>
      <c r="S62" s="290">
        <f t="shared" si="25"/>
        <v>2.9073665999999996</v>
      </c>
      <c r="T62" s="290">
        <f t="shared" si="25"/>
        <v>4.089301799999999</v>
      </c>
      <c r="U62" s="290">
        <f t="shared" si="25"/>
        <v>0</v>
      </c>
      <c r="V62" s="290">
        <f t="shared" si="25"/>
        <v>-3.2865241999999997</v>
      </c>
      <c r="W62" s="290">
        <f t="shared" si="25"/>
        <v>-3.2865241999999997</v>
      </c>
      <c r="X62" s="290"/>
      <c r="Y62" s="290">
        <f>Y63+Y75</f>
        <v>0</v>
      </c>
      <c r="Z62" s="290">
        <f>Z63+Z75</f>
        <v>-3.2865241999999997</v>
      </c>
      <c r="AA62" s="277"/>
    </row>
    <row r="63" spans="1:27" s="657" customFormat="1" ht="15.75">
      <c r="A63" s="842" t="s">
        <v>852</v>
      </c>
      <c r="B63" s="843" t="s">
        <v>561</v>
      </c>
      <c r="C63" s="844"/>
      <c r="D63" s="845">
        <f>SUM(D64:D74)</f>
        <v>4.211502600000001</v>
      </c>
      <c r="E63" s="845">
        <f aca="true" t="shared" si="26" ref="E63:Z63">SUM(E64:E74)</f>
        <v>7.8118596</v>
      </c>
      <c r="F63" s="845">
        <f t="shared" si="26"/>
        <v>0</v>
      </c>
      <c r="G63" s="845">
        <f t="shared" si="26"/>
        <v>0</v>
      </c>
      <c r="H63" s="845">
        <f t="shared" si="26"/>
        <v>0</v>
      </c>
      <c r="I63" s="845">
        <f t="shared" si="26"/>
        <v>0</v>
      </c>
      <c r="J63" s="845">
        <f t="shared" si="26"/>
        <v>1.2043198</v>
      </c>
      <c r="K63" s="845">
        <f t="shared" si="26"/>
        <v>0.9402593999999999</v>
      </c>
      <c r="L63" s="845">
        <f t="shared" si="26"/>
        <v>0</v>
      </c>
      <c r="M63" s="845">
        <f t="shared" si="26"/>
        <v>3.0071828</v>
      </c>
      <c r="N63" s="845">
        <f t="shared" si="26"/>
        <v>3.9642335999999996</v>
      </c>
      <c r="O63" s="845">
        <f t="shared" si="26"/>
        <v>0</v>
      </c>
      <c r="P63" s="845">
        <f t="shared" si="26"/>
        <v>0</v>
      </c>
      <c r="Q63" s="845">
        <f t="shared" si="26"/>
        <v>2.9073665999999996</v>
      </c>
      <c r="R63" s="845">
        <f t="shared" si="26"/>
        <v>7.8118596</v>
      </c>
      <c r="S63" s="845">
        <f t="shared" si="26"/>
        <v>2.9073665999999996</v>
      </c>
      <c r="T63" s="845">
        <f t="shared" si="26"/>
        <v>4.089301799999999</v>
      </c>
      <c r="U63" s="845">
        <f t="shared" si="26"/>
        <v>0</v>
      </c>
      <c r="V63" s="845">
        <f t="shared" si="26"/>
        <v>-3.600357</v>
      </c>
      <c r="W63" s="845">
        <f t="shared" si="26"/>
        <v>-3.600357</v>
      </c>
      <c r="X63" s="845">
        <f t="shared" si="26"/>
        <v>-5.772405223899206</v>
      </c>
      <c r="Y63" s="845">
        <f t="shared" si="26"/>
        <v>0</v>
      </c>
      <c r="Z63" s="845">
        <f t="shared" si="26"/>
        <v>-3.600357</v>
      </c>
      <c r="AA63" s="846"/>
    </row>
    <row r="64" spans="1:27" ht="22.5" customHeight="1">
      <c r="A64" s="19">
        <v>1</v>
      </c>
      <c r="B64" s="865" t="s">
        <v>853</v>
      </c>
      <c r="C64" s="5"/>
      <c r="D64" s="229">
        <v>3.0071828</v>
      </c>
      <c r="E64" s="229">
        <f aca="true" t="shared" si="27" ref="E64:E71">H64+K64+N64+Q64</f>
        <v>1.2888549999999999</v>
      </c>
      <c r="F64" s="229">
        <f aca="true" t="shared" si="28" ref="F64:F71">I64+L64+O64</f>
        <v>0</v>
      </c>
      <c r="G64" s="857">
        <v>0</v>
      </c>
      <c r="H64" s="229"/>
      <c r="I64" s="229"/>
      <c r="J64" s="857">
        <v>0</v>
      </c>
      <c r="K64" s="229"/>
      <c r="L64" s="229"/>
      <c r="M64" s="857">
        <f>D64</f>
        <v>3.0071828</v>
      </c>
      <c r="N64" s="229">
        <f>0.69084*1.18</f>
        <v>0.8151912</v>
      </c>
      <c r="O64" s="229"/>
      <c r="P64" s="522">
        <v>0</v>
      </c>
      <c r="Q64" s="883">
        <f>0.40141*1.18</f>
        <v>0.47366379999999997</v>
      </c>
      <c r="R64" s="869">
        <f aca="true" t="shared" si="29" ref="R64:R72">E64+F64</f>
        <v>1.2888549999999999</v>
      </c>
      <c r="S64" s="229">
        <f>Q64</f>
        <v>0.47366379999999997</v>
      </c>
      <c r="T64" s="229"/>
      <c r="U64" s="229"/>
      <c r="V64" s="299">
        <f aca="true" t="shared" si="30" ref="V64:V74">D64-E64-F64</f>
        <v>1.7183278</v>
      </c>
      <c r="W64" s="229">
        <f aca="true" t="shared" si="31" ref="W64:W74">V64</f>
        <v>1.7183278</v>
      </c>
      <c r="X64" s="851"/>
      <c r="Y64" s="229"/>
      <c r="Z64" s="229">
        <f aca="true" t="shared" si="32" ref="Z64:Z74">W64</f>
        <v>1.7183278</v>
      </c>
      <c r="AA64" s="7" t="s">
        <v>1023</v>
      </c>
    </row>
    <row r="65" spans="1:27" ht="55.5" customHeight="1">
      <c r="A65" s="19">
        <v>2</v>
      </c>
      <c r="B65" s="865" t="s">
        <v>854</v>
      </c>
      <c r="C65" s="5"/>
      <c r="D65" s="229">
        <v>0.4287176</v>
      </c>
      <c r="E65" s="229">
        <f t="shared" si="27"/>
        <v>1.4100409999999999</v>
      </c>
      <c r="F65" s="229">
        <f t="shared" si="28"/>
        <v>0</v>
      </c>
      <c r="G65" s="857">
        <v>0</v>
      </c>
      <c r="H65" s="229"/>
      <c r="I65" s="229"/>
      <c r="J65" s="857">
        <f>D65</f>
        <v>0.4287176</v>
      </c>
      <c r="K65" s="229"/>
      <c r="L65" s="229"/>
      <c r="M65" s="857">
        <v>0</v>
      </c>
      <c r="N65" s="229">
        <f>1.19495*1.18</f>
        <v>1.4100409999999999</v>
      </c>
      <c r="O65" s="229"/>
      <c r="P65" s="522">
        <v>0</v>
      </c>
      <c r="Q65" s="229"/>
      <c r="R65" s="869">
        <f t="shared" si="29"/>
        <v>1.4100409999999999</v>
      </c>
      <c r="S65" s="229">
        <f aca="true" t="shared" si="33" ref="S65:S74">Q65</f>
        <v>0</v>
      </c>
      <c r="T65" s="229">
        <f>E65</f>
        <v>1.4100409999999999</v>
      </c>
      <c r="U65" s="229">
        <f>Q65</f>
        <v>0</v>
      </c>
      <c r="V65" s="299">
        <f t="shared" si="30"/>
        <v>-0.9813234</v>
      </c>
      <c r="W65" s="229">
        <f t="shared" si="31"/>
        <v>-0.9813234</v>
      </c>
      <c r="X65" s="851">
        <f>W65/D65</f>
        <v>-2.2889739072993502</v>
      </c>
      <c r="Y65" s="229"/>
      <c r="Z65" s="229">
        <f t="shared" si="32"/>
        <v>-0.9813234</v>
      </c>
      <c r="AA65" s="868" t="s">
        <v>983</v>
      </c>
    </row>
    <row r="66" spans="1:27" ht="41.25" customHeight="1">
      <c r="A66" s="19">
        <v>3</v>
      </c>
      <c r="B66" s="865" t="s">
        <v>855</v>
      </c>
      <c r="C66" s="5"/>
      <c r="D66" s="229">
        <v>0.6163022</v>
      </c>
      <c r="E66" s="229">
        <f t="shared" si="27"/>
        <v>2.3562947999999997</v>
      </c>
      <c r="F66" s="229">
        <f t="shared" si="28"/>
        <v>0</v>
      </c>
      <c r="G66" s="857">
        <v>0</v>
      </c>
      <c r="H66" s="229"/>
      <c r="I66" s="229"/>
      <c r="J66" s="857">
        <f>D66</f>
        <v>0.6163022</v>
      </c>
      <c r="K66" s="229">
        <f>523.13*1.18/1000</f>
        <v>0.6172933999999999</v>
      </c>
      <c r="L66" s="229"/>
      <c r="M66" s="857">
        <v>0</v>
      </c>
      <c r="N66" s="229">
        <f>1.47373*1.18</f>
        <v>1.7390013999999998</v>
      </c>
      <c r="O66" s="229"/>
      <c r="P66" s="522">
        <v>0</v>
      </c>
      <c r="Q66" s="229"/>
      <c r="R66" s="869">
        <f t="shared" si="29"/>
        <v>2.3562947999999997</v>
      </c>
      <c r="S66" s="229">
        <f t="shared" si="33"/>
        <v>0</v>
      </c>
      <c r="T66" s="229">
        <f>E66+F66</f>
        <v>2.3562947999999997</v>
      </c>
      <c r="U66" s="229">
        <f>Q66</f>
        <v>0</v>
      </c>
      <c r="V66" s="299">
        <f t="shared" si="30"/>
        <v>-1.7399925999999997</v>
      </c>
      <c r="W66" s="229">
        <f t="shared" si="31"/>
        <v>-1.7399925999999997</v>
      </c>
      <c r="X66" s="851">
        <f>W66/D66</f>
        <v>-2.8232782553753655</v>
      </c>
      <c r="Y66" s="229"/>
      <c r="Z66" s="229">
        <f t="shared" si="32"/>
        <v>-1.7399925999999997</v>
      </c>
      <c r="AA66" s="868" t="s">
        <v>983</v>
      </c>
    </row>
    <row r="67" spans="1:27" ht="55.5" customHeight="1">
      <c r="A67" s="19">
        <v>4</v>
      </c>
      <c r="B67" s="865" t="s">
        <v>957</v>
      </c>
      <c r="C67" s="5"/>
      <c r="D67" s="229">
        <v>0.035399999999999994</v>
      </c>
      <c r="E67" s="229">
        <f t="shared" si="27"/>
        <v>0.060534</v>
      </c>
      <c r="F67" s="229">
        <f t="shared" si="28"/>
        <v>0</v>
      </c>
      <c r="G67" s="857">
        <v>0</v>
      </c>
      <c r="H67" s="229"/>
      <c r="I67" s="229"/>
      <c r="J67" s="857">
        <f>D67</f>
        <v>0.035399999999999994</v>
      </c>
      <c r="K67" s="229"/>
      <c r="L67" s="229"/>
      <c r="M67" s="857">
        <v>0</v>
      </c>
      <c r="N67" s="229"/>
      <c r="O67" s="229"/>
      <c r="P67" s="522">
        <v>0</v>
      </c>
      <c r="Q67" s="883">
        <f>0.0513*1.18</f>
        <v>0.060534</v>
      </c>
      <c r="R67" s="869">
        <f t="shared" si="29"/>
        <v>0.060534</v>
      </c>
      <c r="S67" s="229">
        <f t="shared" si="33"/>
        <v>0.060534</v>
      </c>
      <c r="T67" s="229"/>
      <c r="U67" s="229"/>
      <c r="V67" s="299">
        <f t="shared" si="30"/>
        <v>-0.025134000000000004</v>
      </c>
      <c r="W67" s="229">
        <f t="shared" si="31"/>
        <v>-0.025134000000000004</v>
      </c>
      <c r="X67" s="851">
        <f>W67/D67</f>
        <v>-0.7100000000000002</v>
      </c>
      <c r="Y67" s="229"/>
      <c r="Z67" s="229">
        <f t="shared" si="32"/>
        <v>-0.025134000000000004</v>
      </c>
      <c r="AA67" s="7"/>
    </row>
    <row r="68" spans="1:27" ht="55.5" customHeight="1">
      <c r="A68" s="19">
        <v>5</v>
      </c>
      <c r="B68" s="865" t="s">
        <v>952</v>
      </c>
      <c r="C68" s="5"/>
      <c r="D68" s="229">
        <v>0.06608</v>
      </c>
      <c r="E68" s="229">
        <f t="shared" si="27"/>
        <v>0.07507159999999999</v>
      </c>
      <c r="F68" s="229">
        <f t="shared" si="28"/>
        <v>0</v>
      </c>
      <c r="G68" s="857">
        <v>0</v>
      </c>
      <c r="H68" s="229"/>
      <c r="I68" s="229"/>
      <c r="J68" s="857">
        <f>D68</f>
        <v>0.06608</v>
      </c>
      <c r="K68" s="229"/>
      <c r="L68" s="229"/>
      <c r="M68" s="857">
        <v>0</v>
      </c>
      <c r="N68" s="229"/>
      <c r="O68" s="229"/>
      <c r="P68" s="522">
        <v>0</v>
      </c>
      <c r="Q68" s="883">
        <f>0.06362*1.18</f>
        <v>0.07507159999999999</v>
      </c>
      <c r="R68" s="869">
        <f t="shared" si="29"/>
        <v>0.07507159999999999</v>
      </c>
      <c r="S68" s="229">
        <f t="shared" si="33"/>
        <v>0.07507159999999999</v>
      </c>
      <c r="T68" s="229"/>
      <c r="U68" s="229"/>
      <c r="V68" s="299">
        <f t="shared" si="30"/>
        <v>-0.008991599999999988</v>
      </c>
      <c r="W68" s="229">
        <f t="shared" si="31"/>
        <v>-0.008991599999999988</v>
      </c>
      <c r="X68" s="851">
        <f>W68/D68</f>
        <v>-0.1360714285714284</v>
      </c>
      <c r="Y68" s="229"/>
      <c r="Z68" s="229">
        <f t="shared" si="32"/>
        <v>-0.008991599999999988</v>
      </c>
      <c r="AA68" s="7"/>
    </row>
    <row r="69" spans="1:27" ht="55.5" customHeight="1">
      <c r="A69" s="19">
        <v>6</v>
      </c>
      <c r="B69" s="865" t="s">
        <v>958</v>
      </c>
      <c r="C69" s="5"/>
      <c r="D69" s="229">
        <v>0.057819999999999996</v>
      </c>
      <c r="E69" s="229">
        <f t="shared" si="27"/>
        <v>0.0470702</v>
      </c>
      <c r="F69" s="229">
        <f t="shared" si="28"/>
        <v>0</v>
      </c>
      <c r="G69" s="857">
        <v>0</v>
      </c>
      <c r="H69" s="229"/>
      <c r="I69" s="229"/>
      <c r="J69" s="857">
        <f>D69</f>
        <v>0.057819999999999996</v>
      </c>
      <c r="K69" s="229"/>
      <c r="L69" s="229"/>
      <c r="M69" s="857">
        <v>0</v>
      </c>
      <c r="N69" s="229"/>
      <c r="O69" s="229"/>
      <c r="P69" s="522">
        <v>0</v>
      </c>
      <c r="Q69" s="883">
        <f>0.03989*1.18</f>
        <v>0.0470702</v>
      </c>
      <c r="R69" s="869">
        <f t="shared" si="29"/>
        <v>0.0470702</v>
      </c>
      <c r="S69" s="229">
        <f t="shared" si="33"/>
        <v>0.0470702</v>
      </c>
      <c r="T69" s="229"/>
      <c r="U69" s="229"/>
      <c r="V69" s="299">
        <f t="shared" si="30"/>
        <v>0.010749799999999997</v>
      </c>
      <c r="W69" s="229">
        <f t="shared" si="31"/>
        <v>0.010749799999999997</v>
      </c>
      <c r="X69" s="851">
        <f>W69/D69</f>
        <v>0.18591836734693873</v>
      </c>
      <c r="Y69" s="229"/>
      <c r="Z69" s="229">
        <f t="shared" si="32"/>
        <v>0.010749799999999997</v>
      </c>
      <c r="AA69" s="7"/>
    </row>
    <row r="70" spans="1:27" ht="55.5" customHeight="1">
      <c r="A70" s="19">
        <v>7</v>
      </c>
      <c r="B70" s="865" t="s">
        <v>986</v>
      </c>
      <c r="C70" s="5"/>
      <c r="D70" s="229">
        <v>0</v>
      </c>
      <c r="E70" s="229">
        <f t="shared" si="27"/>
        <v>0.08881859999999998</v>
      </c>
      <c r="F70" s="229">
        <f t="shared" si="28"/>
        <v>0</v>
      </c>
      <c r="G70" s="857">
        <f>D70/4</f>
        <v>0</v>
      </c>
      <c r="H70" s="229"/>
      <c r="I70" s="229"/>
      <c r="J70" s="857">
        <f>D70/4</f>
        <v>0</v>
      </c>
      <c r="K70" s="229">
        <v>0.08881859999999998</v>
      </c>
      <c r="L70" s="229"/>
      <c r="M70" s="857">
        <f>D70/4</f>
        <v>0</v>
      </c>
      <c r="N70" s="229"/>
      <c r="O70" s="229"/>
      <c r="P70" s="522">
        <f>D70/4</f>
        <v>0</v>
      </c>
      <c r="Q70" s="229"/>
      <c r="R70" s="869">
        <f t="shared" si="29"/>
        <v>0.08881859999999998</v>
      </c>
      <c r="S70" s="229">
        <f t="shared" si="33"/>
        <v>0</v>
      </c>
      <c r="T70" s="229">
        <f>E70+F70</f>
        <v>0.08881859999999998</v>
      </c>
      <c r="U70" s="229">
        <f>Q70</f>
        <v>0</v>
      </c>
      <c r="V70" s="299">
        <f t="shared" si="30"/>
        <v>-0.08881859999999998</v>
      </c>
      <c r="W70" s="229">
        <f t="shared" si="31"/>
        <v>-0.08881859999999998</v>
      </c>
      <c r="X70" s="851"/>
      <c r="Y70" s="229"/>
      <c r="Z70" s="229">
        <f t="shared" si="32"/>
        <v>-0.08881859999999998</v>
      </c>
      <c r="AA70" s="868" t="s">
        <v>983</v>
      </c>
    </row>
    <row r="71" spans="1:27" ht="55.5" customHeight="1">
      <c r="A71" s="19">
        <v>8</v>
      </c>
      <c r="B71" s="865" t="s">
        <v>987</v>
      </c>
      <c r="C71" s="5"/>
      <c r="D71" s="229">
        <v>0</v>
      </c>
      <c r="E71" s="229">
        <f t="shared" si="27"/>
        <v>0.2341474</v>
      </c>
      <c r="F71" s="229">
        <f t="shared" si="28"/>
        <v>0</v>
      </c>
      <c r="G71" s="857">
        <f>D71/4</f>
        <v>0</v>
      </c>
      <c r="H71" s="229"/>
      <c r="I71" s="229"/>
      <c r="J71" s="857">
        <f>D71/4</f>
        <v>0</v>
      </c>
      <c r="K71" s="229">
        <v>0.2341474</v>
      </c>
      <c r="L71" s="229"/>
      <c r="M71" s="857">
        <f>D71/4</f>
        <v>0</v>
      </c>
      <c r="N71" s="229"/>
      <c r="O71" s="229"/>
      <c r="P71" s="522">
        <f>D71/4</f>
        <v>0</v>
      </c>
      <c r="Q71" s="229"/>
      <c r="R71" s="869">
        <f t="shared" si="29"/>
        <v>0.2341474</v>
      </c>
      <c r="S71" s="229">
        <f t="shared" si="33"/>
        <v>0</v>
      </c>
      <c r="T71" s="229">
        <f>E71+F71</f>
        <v>0.2341474</v>
      </c>
      <c r="U71" s="229">
        <f>Q71</f>
        <v>0</v>
      </c>
      <c r="V71" s="299">
        <f t="shared" si="30"/>
        <v>-0.2341474</v>
      </c>
      <c r="W71" s="229">
        <f t="shared" si="31"/>
        <v>-0.2341474</v>
      </c>
      <c r="X71" s="851"/>
      <c r="Y71" s="229"/>
      <c r="Z71" s="229">
        <f t="shared" si="32"/>
        <v>-0.2341474</v>
      </c>
      <c r="AA71" s="868" t="s">
        <v>983</v>
      </c>
    </row>
    <row r="72" spans="1:27" ht="68.25" customHeight="1">
      <c r="A72" s="19">
        <v>9</v>
      </c>
      <c r="B72" s="881" t="s">
        <v>1002</v>
      </c>
      <c r="C72" s="5"/>
      <c r="D72" s="229">
        <v>0</v>
      </c>
      <c r="E72" s="229">
        <f>H72+K72+N72+Q72</f>
        <v>0.07208619999999999</v>
      </c>
      <c r="F72" s="229">
        <f>I72+L72+O72</f>
        <v>0</v>
      </c>
      <c r="G72" s="857">
        <f>D72/4</f>
        <v>0</v>
      </c>
      <c r="H72" s="229"/>
      <c r="I72" s="229"/>
      <c r="J72" s="857">
        <f>D72/4</f>
        <v>0</v>
      </c>
      <c r="K72" s="852"/>
      <c r="L72" s="852"/>
      <c r="M72" s="857">
        <f>D72/4</f>
        <v>0</v>
      </c>
      <c r="N72" s="229"/>
      <c r="O72" s="229"/>
      <c r="P72" s="522">
        <f>D72/4</f>
        <v>0</v>
      </c>
      <c r="Q72" s="884">
        <f>0.06109*1.18</f>
        <v>0.07208619999999999</v>
      </c>
      <c r="R72" s="869">
        <f t="shared" si="29"/>
        <v>0.07208619999999999</v>
      </c>
      <c r="S72" s="229">
        <f t="shared" si="33"/>
        <v>0.07208619999999999</v>
      </c>
      <c r="T72" s="852"/>
      <c r="U72" s="852"/>
      <c r="V72" s="299">
        <f t="shared" si="30"/>
        <v>-0.07208619999999999</v>
      </c>
      <c r="W72" s="229">
        <f t="shared" si="31"/>
        <v>-0.07208619999999999</v>
      </c>
      <c r="X72" s="851"/>
      <c r="Y72" s="852"/>
      <c r="Z72" s="229">
        <f t="shared" si="32"/>
        <v>-0.07208619999999999</v>
      </c>
      <c r="AA72" s="868" t="s">
        <v>983</v>
      </c>
    </row>
    <row r="73" spans="1:27" ht="68.25" customHeight="1">
      <c r="A73" s="19">
        <v>10</v>
      </c>
      <c r="B73" s="881" t="s">
        <v>1006</v>
      </c>
      <c r="C73" s="5"/>
      <c r="D73" s="229">
        <v>0</v>
      </c>
      <c r="E73" s="229">
        <f>H73+K73+N73+Q73</f>
        <v>1.1089758</v>
      </c>
      <c r="F73" s="229">
        <f>I73+L73+O73</f>
        <v>0</v>
      </c>
      <c r="G73" s="857">
        <f>D73/4</f>
        <v>0</v>
      </c>
      <c r="H73" s="852"/>
      <c r="I73" s="852"/>
      <c r="J73" s="857">
        <f>D73/4</f>
        <v>0</v>
      </c>
      <c r="K73" s="852"/>
      <c r="L73" s="852"/>
      <c r="M73" s="857">
        <f>D73/4</f>
        <v>0</v>
      </c>
      <c r="N73" s="229"/>
      <c r="O73" s="229"/>
      <c r="P73" s="522">
        <f>D73/4</f>
        <v>0</v>
      </c>
      <c r="Q73" s="884">
        <f>0.93981*1.18</f>
        <v>1.1089758</v>
      </c>
      <c r="R73" s="869">
        <f>E73+F73</f>
        <v>1.1089758</v>
      </c>
      <c r="S73" s="229">
        <f t="shared" si="33"/>
        <v>1.1089758</v>
      </c>
      <c r="T73" s="852"/>
      <c r="U73" s="852"/>
      <c r="V73" s="299">
        <f t="shared" si="30"/>
        <v>-1.1089758</v>
      </c>
      <c r="W73" s="229">
        <f t="shared" si="31"/>
        <v>-1.1089758</v>
      </c>
      <c r="X73" s="851"/>
      <c r="Y73" s="852"/>
      <c r="Z73" s="229">
        <f t="shared" si="32"/>
        <v>-1.1089758</v>
      </c>
      <c r="AA73" s="868" t="s">
        <v>1009</v>
      </c>
    </row>
    <row r="74" spans="1:27" ht="68.25" customHeight="1">
      <c r="A74" s="19">
        <v>11</v>
      </c>
      <c r="B74" s="881" t="s">
        <v>1007</v>
      </c>
      <c r="C74" s="5"/>
      <c r="D74" s="229">
        <v>0</v>
      </c>
      <c r="E74" s="229">
        <f>H74+K74+N74+Q74</f>
        <v>1.0699649999999998</v>
      </c>
      <c r="F74" s="229">
        <f>I74+L74+O74</f>
        <v>0</v>
      </c>
      <c r="G74" s="857">
        <f>D74/4</f>
        <v>0</v>
      </c>
      <c r="H74" s="852"/>
      <c r="I74" s="852"/>
      <c r="J74" s="857">
        <f>D74/4</f>
        <v>0</v>
      </c>
      <c r="K74" s="852"/>
      <c r="L74" s="852"/>
      <c r="M74" s="857">
        <f>D74/4</f>
        <v>0</v>
      </c>
      <c r="N74" s="229"/>
      <c r="O74" s="229"/>
      <c r="P74" s="522">
        <f>D74/4</f>
        <v>0</v>
      </c>
      <c r="Q74" s="884">
        <f>0.90675*1.18</f>
        <v>1.0699649999999998</v>
      </c>
      <c r="R74" s="869">
        <f>E74+F74</f>
        <v>1.0699649999999998</v>
      </c>
      <c r="S74" s="229">
        <f t="shared" si="33"/>
        <v>1.0699649999999998</v>
      </c>
      <c r="T74" s="852"/>
      <c r="U74" s="852"/>
      <c r="V74" s="299">
        <f t="shared" si="30"/>
        <v>-1.0699649999999998</v>
      </c>
      <c r="W74" s="229">
        <f t="shared" si="31"/>
        <v>-1.0699649999999998</v>
      </c>
      <c r="X74" s="851"/>
      <c r="Y74" s="852"/>
      <c r="Z74" s="229">
        <f t="shared" si="32"/>
        <v>-1.0699649999999998</v>
      </c>
      <c r="AA74" s="868" t="s">
        <v>1009</v>
      </c>
    </row>
    <row r="75" spans="1:27" s="657" customFormat="1" ht="15.75">
      <c r="A75" s="842" t="s">
        <v>856</v>
      </c>
      <c r="B75" s="843" t="s">
        <v>562</v>
      </c>
      <c r="C75" s="844"/>
      <c r="D75" s="845">
        <f aca="true" t="shared" si="34" ref="D75:P75">SUM(D76)</f>
        <v>1.5961033999999998</v>
      </c>
      <c r="E75" s="845">
        <f t="shared" si="34"/>
        <v>1.2822706</v>
      </c>
      <c r="F75" s="845">
        <f t="shared" si="34"/>
        <v>0</v>
      </c>
      <c r="G75" s="860">
        <f t="shared" si="34"/>
        <v>0</v>
      </c>
      <c r="H75" s="845">
        <f t="shared" si="34"/>
        <v>0</v>
      </c>
      <c r="I75" s="845">
        <f t="shared" si="34"/>
        <v>0</v>
      </c>
      <c r="J75" s="860">
        <f t="shared" si="34"/>
        <v>1.5961033999999998</v>
      </c>
      <c r="K75" s="845">
        <f t="shared" si="34"/>
        <v>0</v>
      </c>
      <c r="L75" s="845">
        <f t="shared" si="34"/>
        <v>0</v>
      </c>
      <c r="M75" s="860">
        <f t="shared" si="34"/>
        <v>0</v>
      </c>
      <c r="N75" s="845">
        <f t="shared" si="34"/>
        <v>1.2822706</v>
      </c>
      <c r="O75" s="845">
        <f t="shared" si="34"/>
        <v>0</v>
      </c>
      <c r="P75" s="860">
        <f t="shared" si="34"/>
        <v>0</v>
      </c>
      <c r="Q75" s="845">
        <f aca="true" t="shared" si="35" ref="Q75:W75">SUM(Q76)</f>
        <v>0</v>
      </c>
      <c r="R75" s="879">
        <f t="shared" si="35"/>
        <v>1.2822706</v>
      </c>
      <c r="S75" s="845">
        <f t="shared" si="35"/>
        <v>0</v>
      </c>
      <c r="T75" s="845">
        <f t="shared" si="35"/>
        <v>0</v>
      </c>
      <c r="U75" s="845">
        <f t="shared" si="35"/>
        <v>0</v>
      </c>
      <c r="V75" s="845">
        <f t="shared" si="35"/>
        <v>0.3138327999999999</v>
      </c>
      <c r="W75" s="845">
        <f t="shared" si="35"/>
        <v>0.3138327999999999</v>
      </c>
      <c r="X75" s="654"/>
      <c r="Y75" s="845">
        <f>SUM(Y76)</f>
        <v>0</v>
      </c>
      <c r="Z75" s="845">
        <f>SUM(Z76)</f>
        <v>0.3138327999999999</v>
      </c>
      <c r="AA75" s="846"/>
    </row>
    <row r="76" spans="1:27" ht="27.75" customHeight="1">
      <c r="A76" s="19">
        <v>1</v>
      </c>
      <c r="B76" s="865" t="s">
        <v>857</v>
      </c>
      <c r="C76" s="5"/>
      <c r="D76" s="229">
        <v>1.5961033999999998</v>
      </c>
      <c r="E76" s="229">
        <f>H76+K76+N76+Q76</f>
        <v>1.2822706</v>
      </c>
      <c r="F76" s="229">
        <f>I76+L76+O76</f>
        <v>0</v>
      </c>
      <c r="G76" s="857">
        <v>0</v>
      </c>
      <c r="H76" s="229"/>
      <c r="I76" s="229"/>
      <c r="J76" s="857">
        <f>D76</f>
        <v>1.5961033999999998</v>
      </c>
      <c r="K76" s="229"/>
      <c r="L76" s="229"/>
      <c r="M76" s="857">
        <v>0</v>
      </c>
      <c r="N76" s="229">
        <f>1.08667*1.18</f>
        <v>1.2822706</v>
      </c>
      <c r="O76" s="229"/>
      <c r="P76" s="522">
        <v>0</v>
      </c>
      <c r="Q76" s="229"/>
      <c r="R76" s="869">
        <f>E76+F76</f>
        <v>1.2822706</v>
      </c>
      <c r="S76" s="229">
        <f>Q76</f>
        <v>0</v>
      </c>
      <c r="T76" s="229"/>
      <c r="U76" s="229"/>
      <c r="V76" s="299">
        <f>D76-E76-F76</f>
        <v>0.3138327999999999</v>
      </c>
      <c r="W76" s="229">
        <f>V76</f>
        <v>0.3138327999999999</v>
      </c>
      <c r="X76" s="851">
        <f>W76/D76</f>
        <v>0.1966243540362109</v>
      </c>
      <c r="Y76" s="229"/>
      <c r="Z76" s="229">
        <f>W76</f>
        <v>0.3138327999999999</v>
      </c>
      <c r="AA76" s="7" t="s">
        <v>1023</v>
      </c>
    </row>
    <row r="77" spans="1:27" ht="15.75">
      <c r="A77" s="278" t="s">
        <v>818</v>
      </c>
      <c r="B77" s="826" t="s">
        <v>806</v>
      </c>
      <c r="C77" s="275"/>
      <c r="D77" s="290">
        <f>D78</f>
        <v>0.7345028</v>
      </c>
      <c r="E77" s="290">
        <f aca="true" t="shared" si="36" ref="E77:W77">E78</f>
        <v>0.8207726</v>
      </c>
      <c r="F77" s="290">
        <f t="shared" si="36"/>
        <v>0</v>
      </c>
      <c r="G77" s="290">
        <f t="shared" si="36"/>
        <v>0</v>
      </c>
      <c r="H77" s="290">
        <f t="shared" si="36"/>
        <v>0</v>
      </c>
      <c r="I77" s="290">
        <f t="shared" si="36"/>
        <v>0</v>
      </c>
      <c r="J77" s="290">
        <f t="shared" si="36"/>
        <v>0</v>
      </c>
      <c r="K77" s="290">
        <f t="shared" si="36"/>
        <v>0</v>
      </c>
      <c r="L77" s="290">
        <f t="shared" si="36"/>
        <v>0</v>
      </c>
      <c r="M77" s="290">
        <f t="shared" si="36"/>
        <v>0</v>
      </c>
      <c r="N77" s="290">
        <f t="shared" si="36"/>
        <v>0.08661200000000001</v>
      </c>
      <c r="O77" s="290">
        <f t="shared" si="36"/>
        <v>0</v>
      </c>
      <c r="P77" s="290">
        <f t="shared" si="36"/>
        <v>0.7345028</v>
      </c>
      <c r="Q77" s="290">
        <f t="shared" si="36"/>
        <v>0.7341605999999999</v>
      </c>
      <c r="R77" s="878">
        <f t="shared" si="36"/>
        <v>0.8207726</v>
      </c>
      <c r="S77" s="290">
        <f t="shared" si="36"/>
        <v>0.7341605999999999</v>
      </c>
      <c r="T77" s="290">
        <f t="shared" si="36"/>
        <v>0.7345028</v>
      </c>
      <c r="U77" s="290">
        <f t="shared" si="36"/>
        <v>0.7341605999999999</v>
      </c>
      <c r="V77" s="290">
        <f t="shared" si="36"/>
        <v>-0.08626979999999994</v>
      </c>
      <c r="W77" s="290">
        <f t="shared" si="36"/>
        <v>-0.08626979999999994</v>
      </c>
      <c r="X77" s="290"/>
      <c r="Y77" s="290">
        <f>Y78</f>
        <v>0</v>
      </c>
      <c r="Z77" s="290">
        <f>Z78</f>
        <v>-0.08626979999999994</v>
      </c>
      <c r="AA77" s="277"/>
    </row>
    <row r="78" spans="1:27" s="657" customFormat="1" ht="15.75">
      <c r="A78" s="842" t="s">
        <v>858</v>
      </c>
      <c r="B78" s="843" t="s">
        <v>561</v>
      </c>
      <c r="C78" s="844"/>
      <c r="D78" s="845">
        <f>SUM(D79:D80)</f>
        <v>0.7345028</v>
      </c>
      <c r="E78" s="845">
        <f>SUM(E79:E80)</f>
        <v>0.8207726</v>
      </c>
      <c r="F78" s="845">
        <f>SUM(F79:F80)</f>
        <v>0</v>
      </c>
      <c r="G78" s="860">
        <f>SUM(G79)</f>
        <v>0</v>
      </c>
      <c r="H78" s="845">
        <f>SUM(H79:H80)</f>
        <v>0</v>
      </c>
      <c r="I78" s="845">
        <f>SUM(I79:I80)</f>
        <v>0</v>
      </c>
      <c r="J78" s="860">
        <f>SUM(J79)</f>
        <v>0</v>
      </c>
      <c r="K78" s="845">
        <f>SUM(K79:K80)</f>
        <v>0</v>
      </c>
      <c r="L78" s="845">
        <f>SUM(L79:L80)</f>
        <v>0</v>
      </c>
      <c r="M78" s="860">
        <f>SUM(M79)</f>
        <v>0</v>
      </c>
      <c r="N78" s="845">
        <f>SUM(N79:N80)</f>
        <v>0.08661200000000001</v>
      </c>
      <c r="O78" s="845">
        <f>SUM(O79:O80)</f>
        <v>0</v>
      </c>
      <c r="P78" s="860">
        <f>SUM(P79)</f>
        <v>0.7345028</v>
      </c>
      <c r="Q78" s="845">
        <f aca="true" t="shared" si="37" ref="Q78:W78">SUM(Q79:Q80)</f>
        <v>0.7341605999999999</v>
      </c>
      <c r="R78" s="879">
        <f t="shared" si="37"/>
        <v>0.8207726</v>
      </c>
      <c r="S78" s="845">
        <f t="shared" si="37"/>
        <v>0.7341605999999999</v>
      </c>
      <c r="T78" s="845">
        <f t="shared" si="37"/>
        <v>0.7345028</v>
      </c>
      <c r="U78" s="845">
        <f t="shared" si="37"/>
        <v>0.7341605999999999</v>
      </c>
      <c r="V78" s="845">
        <f t="shared" si="37"/>
        <v>-0.08626979999999994</v>
      </c>
      <c r="W78" s="845">
        <f t="shared" si="37"/>
        <v>-0.08626979999999994</v>
      </c>
      <c r="X78" s="654"/>
      <c r="Y78" s="845">
        <f>SUM(Y79)</f>
        <v>0</v>
      </c>
      <c r="Z78" s="845">
        <f>SUM(Z79:Z80)</f>
        <v>-0.08626979999999994</v>
      </c>
      <c r="AA78" s="846"/>
    </row>
    <row r="79" spans="1:27" ht="31.5">
      <c r="A79" s="19">
        <v>1</v>
      </c>
      <c r="B79" s="447" t="s">
        <v>859</v>
      </c>
      <c r="C79" s="5"/>
      <c r="D79" s="229">
        <v>0.7345028</v>
      </c>
      <c r="E79" s="229">
        <f>H79+K79+N79+Q79</f>
        <v>0.7341605999999999</v>
      </c>
      <c r="F79" s="229">
        <f>I79+L79+O79</f>
        <v>0</v>
      </c>
      <c r="G79" s="857">
        <v>0</v>
      </c>
      <c r="H79" s="229"/>
      <c r="I79" s="229"/>
      <c r="J79" s="522">
        <v>0</v>
      </c>
      <c r="K79" s="229"/>
      <c r="L79" s="229"/>
      <c r="M79" s="522">
        <v>0</v>
      </c>
      <c r="N79" s="229"/>
      <c r="O79" s="229"/>
      <c r="P79" s="522">
        <f>D79</f>
        <v>0.7345028</v>
      </c>
      <c r="Q79" s="883">
        <f>0.62217*1.18</f>
        <v>0.7341605999999999</v>
      </c>
      <c r="R79" s="869">
        <f>E79+F79</f>
        <v>0.7341605999999999</v>
      </c>
      <c r="S79" s="229">
        <f>Q79</f>
        <v>0.7341605999999999</v>
      </c>
      <c r="T79" s="229">
        <f>D79</f>
        <v>0.7345028</v>
      </c>
      <c r="U79" s="229">
        <f>Q79</f>
        <v>0.7341605999999999</v>
      </c>
      <c r="V79" s="299">
        <f>D79-E79-F79</f>
        <v>0.0003422000000000702</v>
      </c>
      <c r="W79" s="229">
        <f>V79</f>
        <v>0.0003422000000000702</v>
      </c>
      <c r="X79" s="851">
        <f>W79/D79</f>
        <v>0.0004658933907400628</v>
      </c>
      <c r="Y79" s="229"/>
      <c r="Z79" s="229">
        <f>W79</f>
        <v>0.0003422000000000702</v>
      </c>
      <c r="AA79" s="7"/>
    </row>
    <row r="80" spans="1:27" ht="31.5">
      <c r="A80" s="19">
        <v>2</v>
      </c>
      <c r="B80" s="447" t="s">
        <v>994</v>
      </c>
      <c r="C80" s="5"/>
      <c r="D80" s="229">
        <v>0</v>
      </c>
      <c r="E80" s="229">
        <f>H80+K80+N80+Q80</f>
        <v>0.08661200000000001</v>
      </c>
      <c r="F80" s="229">
        <f>I80+L80+O80</f>
        <v>0</v>
      </c>
      <c r="G80" s="857">
        <v>0</v>
      </c>
      <c r="H80" s="229"/>
      <c r="I80" s="229"/>
      <c r="J80" s="522">
        <v>0</v>
      </c>
      <c r="K80" s="229"/>
      <c r="L80" s="229"/>
      <c r="M80" s="522">
        <v>0</v>
      </c>
      <c r="N80" s="229">
        <f>73.4*1.18/1000</f>
        <v>0.08661200000000001</v>
      </c>
      <c r="O80" s="229"/>
      <c r="P80" s="522">
        <f>D80</f>
        <v>0</v>
      </c>
      <c r="Q80" s="229"/>
      <c r="R80" s="869">
        <f>E80+F80</f>
        <v>0.08661200000000001</v>
      </c>
      <c r="S80" s="229">
        <f>Q80</f>
        <v>0</v>
      </c>
      <c r="T80" s="229"/>
      <c r="U80" s="229"/>
      <c r="V80" s="299">
        <f>D80-E80-F80</f>
        <v>-0.08661200000000001</v>
      </c>
      <c r="W80" s="229">
        <f>V80</f>
        <v>-0.08661200000000001</v>
      </c>
      <c r="X80" s="851"/>
      <c r="Y80" s="229"/>
      <c r="Z80" s="229">
        <f>W80</f>
        <v>-0.08661200000000001</v>
      </c>
      <c r="AA80" s="868" t="s">
        <v>983</v>
      </c>
    </row>
    <row r="81" spans="1:27" ht="15.75">
      <c r="A81" s="278" t="s">
        <v>710</v>
      </c>
      <c r="B81" s="826" t="s">
        <v>802</v>
      </c>
      <c r="C81" s="275"/>
      <c r="D81" s="290">
        <f aca="true" t="shared" si="38" ref="D81:W81">D82+D93+D95</f>
        <v>6.409028399999999</v>
      </c>
      <c r="E81" s="290">
        <f t="shared" si="38"/>
        <v>12.492435799999997</v>
      </c>
      <c r="F81" s="290">
        <f t="shared" si="38"/>
        <v>0</v>
      </c>
      <c r="G81" s="290">
        <f t="shared" si="38"/>
        <v>0</v>
      </c>
      <c r="H81" s="290">
        <f t="shared" si="38"/>
        <v>0</v>
      </c>
      <c r="I81" s="290">
        <f t="shared" si="38"/>
        <v>0</v>
      </c>
      <c r="J81" s="290">
        <f t="shared" si="38"/>
        <v>3.0826792</v>
      </c>
      <c r="K81" s="290">
        <f t="shared" si="38"/>
        <v>0.2114796</v>
      </c>
      <c r="L81" s="290">
        <f t="shared" si="38"/>
        <v>0</v>
      </c>
      <c r="M81" s="290">
        <f t="shared" si="38"/>
        <v>3.3263491999999997</v>
      </c>
      <c r="N81" s="290">
        <f t="shared" si="38"/>
        <v>2.9743551999999998</v>
      </c>
      <c r="O81" s="290">
        <f t="shared" si="38"/>
        <v>0</v>
      </c>
      <c r="P81" s="290">
        <f t="shared" si="38"/>
        <v>0</v>
      </c>
      <c r="Q81" s="290">
        <f t="shared" si="38"/>
        <v>9.306600999999997</v>
      </c>
      <c r="R81" s="878">
        <f t="shared" si="38"/>
        <v>12.492435799999997</v>
      </c>
      <c r="S81" s="290">
        <f t="shared" si="38"/>
        <v>9.306600999999997</v>
      </c>
      <c r="T81" s="290">
        <f t="shared" si="38"/>
        <v>7.2790424</v>
      </c>
      <c r="U81" s="290">
        <f t="shared" si="38"/>
        <v>6.942565399999999</v>
      </c>
      <c r="V81" s="290">
        <f t="shared" si="38"/>
        <v>-6.0834074</v>
      </c>
      <c r="W81" s="290">
        <f t="shared" si="38"/>
        <v>-6.0834074</v>
      </c>
      <c r="X81" s="290"/>
      <c r="Y81" s="290">
        <f>Y82+Y93+Y95</f>
        <v>0</v>
      </c>
      <c r="Z81" s="290">
        <f>Z82+Z93+Z95</f>
        <v>-6.0834074</v>
      </c>
      <c r="AA81" s="277"/>
    </row>
    <row r="82" spans="1:27" s="657" customFormat="1" ht="15.75">
      <c r="A82" s="842" t="s">
        <v>860</v>
      </c>
      <c r="B82" s="843" t="s">
        <v>561</v>
      </c>
      <c r="C82" s="844"/>
      <c r="D82" s="845">
        <f aca="true" t="shared" si="39" ref="D82:I82">SUM(D83:D92)</f>
        <v>3.6626491999999993</v>
      </c>
      <c r="E82" s="845">
        <f t="shared" si="39"/>
        <v>9.270009199999999</v>
      </c>
      <c r="F82" s="845">
        <f t="shared" si="39"/>
        <v>0</v>
      </c>
      <c r="G82" s="860">
        <f t="shared" si="39"/>
        <v>0</v>
      </c>
      <c r="H82" s="845">
        <f t="shared" si="39"/>
        <v>0</v>
      </c>
      <c r="I82" s="845">
        <f t="shared" si="39"/>
        <v>0</v>
      </c>
      <c r="J82" s="860">
        <f>SUM(J83:J86)</f>
        <v>0.3363</v>
      </c>
      <c r="K82" s="845">
        <f aca="true" t="shared" si="40" ref="K82:Z82">SUM(K83:K92)</f>
        <v>0.2114796</v>
      </c>
      <c r="L82" s="845">
        <f t="shared" si="40"/>
        <v>0</v>
      </c>
      <c r="M82" s="860">
        <f t="shared" si="40"/>
        <v>3.3263491999999997</v>
      </c>
      <c r="N82" s="845">
        <f t="shared" si="40"/>
        <v>0.0041536</v>
      </c>
      <c r="O82" s="845">
        <f t="shared" si="40"/>
        <v>0</v>
      </c>
      <c r="P82" s="860">
        <f t="shared" si="40"/>
        <v>0</v>
      </c>
      <c r="Q82" s="845">
        <f t="shared" si="40"/>
        <v>9.054375999999998</v>
      </c>
      <c r="R82" s="845">
        <f t="shared" si="40"/>
        <v>9.270009199999999</v>
      </c>
      <c r="S82" s="845">
        <f t="shared" si="40"/>
        <v>9.054375999999998</v>
      </c>
      <c r="T82" s="845">
        <f t="shared" si="40"/>
        <v>6.946719</v>
      </c>
      <c r="U82" s="845">
        <f t="shared" si="40"/>
        <v>6.942565399999999</v>
      </c>
      <c r="V82" s="845">
        <f t="shared" si="40"/>
        <v>-5.60736</v>
      </c>
      <c r="W82" s="845">
        <f t="shared" si="40"/>
        <v>-5.60736</v>
      </c>
      <c r="X82" s="845">
        <f t="shared" si="40"/>
        <v>0.32747368421052625</v>
      </c>
      <c r="Y82" s="845">
        <f t="shared" si="40"/>
        <v>0</v>
      </c>
      <c r="Z82" s="845">
        <f t="shared" si="40"/>
        <v>-5.60736</v>
      </c>
      <c r="AA82" s="846"/>
    </row>
    <row r="83" spans="1:27" ht="15.75">
      <c r="A83" s="19">
        <v>1</v>
      </c>
      <c r="B83" s="447" t="s">
        <v>861</v>
      </c>
      <c r="C83" s="5"/>
      <c r="D83" s="229">
        <v>3.3263491999999997</v>
      </c>
      <c r="E83" s="229">
        <f aca="true" t="shared" si="41" ref="E83:E92">H83+K83+N83+Q83</f>
        <v>3.2337309999999997</v>
      </c>
      <c r="F83" s="229">
        <f aca="true" t="shared" si="42" ref="F83:F92">I83+L83+O83</f>
        <v>0</v>
      </c>
      <c r="G83" s="857">
        <v>0</v>
      </c>
      <c r="H83" s="229"/>
      <c r="I83" s="229"/>
      <c r="J83" s="522">
        <v>0</v>
      </c>
      <c r="K83" s="229"/>
      <c r="L83" s="229"/>
      <c r="M83" s="522">
        <f>D83</f>
        <v>3.3263491999999997</v>
      </c>
      <c r="N83" s="229"/>
      <c r="O83" s="229"/>
      <c r="P83" s="522">
        <v>0</v>
      </c>
      <c r="Q83" s="883">
        <f>2.74045*1.18</f>
        <v>3.2337309999999997</v>
      </c>
      <c r="R83" s="869">
        <f aca="true" t="shared" si="43" ref="R83:R92">E83+F83</f>
        <v>3.2337309999999997</v>
      </c>
      <c r="S83" s="229">
        <f aca="true" t="shared" si="44" ref="S83:S92">Q83</f>
        <v>3.2337309999999997</v>
      </c>
      <c r="T83" s="229">
        <f>E83</f>
        <v>3.2337309999999997</v>
      </c>
      <c r="U83" s="229">
        <f>Q83</f>
        <v>3.2337309999999997</v>
      </c>
      <c r="V83" s="299">
        <f aca="true" t="shared" si="45" ref="V83:V92">D83-E83-F83</f>
        <v>0.09261819999999998</v>
      </c>
      <c r="W83" s="229">
        <f aca="true" t="shared" si="46" ref="W83:W92">V83</f>
        <v>0.09261819999999998</v>
      </c>
      <c r="X83" s="851"/>
      <c r="Y83" s="229"/>
      <c r="Z83" s="229">
        <f aca="true" t="shared" si="47" ref="Z83:Z92">W83</f>
        <v>0.09261819999999998</v>
      </c>
      <c r="AA83" s="7"/>
    </row>
    <row r="84" spans="1:27" ht="48" customHeight="1">
      <c r="A84" s="19">
        <v>2</v>
      </c>
      <c r="B84" s="447" t="s">
        <v>953</v>
      </c>
      <c r="C84" s="5"/>
      <c r="D84" s="229">
        <v>0.11209999999999999</v>
      </c>
      <c r="E84" s="229">
        <f t="shared" si="41"/>
        <v>0.0881106</v>
      </c>
      <c r="F84" s="229">
        <f t="shared" si="42"/>
        <v>0</v>
      </c>
      <c r="G84" s="857">
        <v>0</v>
      </c>
      <c r="H84" s="229"/>
      <c r="I84" s="229"/>
      <c r="J84" s="522">
        <f aca="true" t="shared" si="48" ref="J84:J92">D84</f>
        <v>0.11209999999999999</v>
      </c>
      <c r="K84" s="229"/>
      <c r="L84" s="229"/>
      <c r="M84" s="522">
        <v>0</v>
      </c>
      <c r="N84" s="229"/>
      <c r="O84" s="229"/>
      <c r="P84" s="522">
        <v>0</v>
      </c>
      <c r="Q84" s="883">
        <f>0.07467*1.18</f>
        <v>0.0881106</v>
      </c>
      <c r="R84" s="869">
        <f t="shared" si="43"/>
        <v>0.0881106</v>
      </c>
      <c r="S84" s="229">
        <f t="shared" si="44"/>
        <v>0.0881106</v>
      </c>
      <c r="T84" s="229"/>
      <c r="U84" s="229"/>
      <c r="V84" s="299">
        <f t="shared" si="45"/>
        <v>0.023989399999999994</v>
      </c>
      <c r="W84" s="229">
        <f t="shared" si="46"/>
        <v>0.023989399999999994</v>
      </c>
      <c r="X84" s="851">
        <f>W84/D84</f>
        <v>0.21399999999999997</v>
      </c>
      <c r="Y84" s="229"/>
      <c r="Z84" s="229">
        <f t="shared" si="47"/>
        <v>0.023989399999999994</v>
      </c>
      <c r="AA84" s="7"/>
    </row>
    <row r="85" spans="1:27" ht="53.25" customHeight="1">
      <c r="A85" s="19">
        <v>3</v>
      </c>
      <c r="B85" s="447" t="s">
        <v>959</v>
      </c>
      <c r="C85" s="5"/>
      <c r="D85" s="229">
        <v>0.11209999999999999</v>
      </c>
      <c r="E85" s="229">
        <f t="shared" si="41"/>
        <v>0.1057398</v>
      </c>
      <c r="F85" s="229">
        <f t="shared" si="42"/>
        <v>0</v>
      </c>
      <c r="G85" s="857">
        <v>0</v>
      </c>
      <c r="H85" s="229"/>
      <c r="I85" s="229"/>
      <c r="J85" s="522">
        <f t="shared" si="48"/>
        <v>0.11209999999999999</v>
      </c>
      <c r="K85" s="229">
        <f>89.61*1.18/1000</f>
        <v>0.1057398</v>
      </c>
      <c r="L85" s="229"/>
      <c r="M85" s="522">
        <v>0</v>
      </c>
      <c r="N85" s="229"/>
      <c r="O85" s="229"/>
      <c r="P85" s="522">
        <v>0</v>
      </c>
      <c r="Q85" s="229"/>
      <c r="R85" s="869">
        <f t="shared" si="43"/>
        <v>0.1057398</v>
      </c>
      <c r="S85" s="229">
        <f t="shared" si="44"/>
        <v>0</v>
      </c>
      <c r="T85" s="229"/>
      <c r="U85" s="229"/>
      <c r="V85" s="299">
        <f t="shared" si="45"/>
        <v>0.006360199999999996</v>
      </c>
      <c r="W85" s="229">
        <f t="shared" si="46"/>
        <v>0.006360199999999996</v>
      </c>
      <c r="X85" s="851">
        <f>W85/D85</f>
        <v>0.05673684210526313</v>
      </c>
      <c r="Y85" s="229"/>
      <c r="Z85" s="229">
        <f t="shared" si="47"/>
        <v>0.006360199999999996</v>
      </c>
      <c r="AA85" s="7"/>
    </row>
    <row r="86" spans="1:27" ht="54.75" customHeight="1">
      <c r="A86" s="19">
        <v>4</v>
      </c>
      <c r="B86" s="447" t="s">
        <v>960</v>
      </c>
      <c r="C86" s="5"/>
      <c r="D86" s="229">
        <v>0.11209999999999999</v>
      </c>
      <c r="E86" s="229">
        <f t="shared" si="41"/>
        <v>0.1057398</v>
      </c>
      <c r="F86" s="229">
        <f t="shared" si="42"/>
        <v>0</v>
      </c>
      <c r="G86" s="857">
        <v>0</v>
      </c>
      <c r="H86" s="229"/>
      <c r="I86" s="229"/>
      <c r="J86" s="522">
        <f t="shared" si="48"/>
        <v>0.11209999999999999</v>
      </c>
      <c r="K86" s="229">
        <f>89.61*1.18/1000</f>
        <v>0.1057398</v>
      </c>
      <c r="L86" s="229"/>
      <c r="M86" s="522">
        <v>0</v>
      </c>
      <c r="N86" s="229"/>
      <c r="O86" s="229"/>
      <c r="P86" s="522">
        <v>0</v>
      </c>
      <c r="Q86" s="229"/>
      <c r="R86" s="869">
        <f t="shared" si="43"/>
        <v>0.1057398</v>
      </c>
      <c r="S86" s="229">
        <f t="shared" si="44"/>
        <v>0</v>
      </c>
      <c r="T86" s="229"/>
      <c r="U86" s="229"/>
      <c r="V86" s="299">
        <f t="shared" si="45"/>
        <v>0.006360199999999996</v>
      </c>
      <c r="W86" s="229">
        <f t="shared" si="46"/>
        <v>0.006360199999999996</v>
      </c>
      <c r="X86" s="851">
        <f>W86/D86</f>
        <v>0.05673684210526313</v>
      </c>
      <c r="Y86" s="229"/>
      <c r="Z86" s="229">
        <f t="shared" si="47"/>
        <v>0.006360199999999996</v>
      </c>
      <c r="AA86" s="7"/>
    </row>
    <row r="87" spans="1:27" ht="30.75" customHeight="1">
      <c r="A87" s="19">
        <v>5</v>
      </c>
      <c r="B87" s="447" t="s">
        <v>992</v>
      </c>
      <c r="C87" s="5"/>
      <c r="D87" s="229">
        <v>0</v>
      </c>
      <c r="E87" s="229">
        <f t="shared" si="41"/>
        <v>0.0041536</v>
      </c>
      <c r="F87" s="229">
        <f t="shared" si="42"/>
        <v>0</v>
      </c>
      <c r="G87" s="857">
        <v>0</v>
      </c>
      <c r="H87" s="229"/>
      <c r="I87" s="229"/>
      <c r="J87" s="522">
        <f t="shared" si="48"/>
        <v>0</v>
      </c>
      <c r="K87" s="229"/>
      <c r="L87" s="229"/>
      <c r="M87" s="522">
        <v>0</v>
      </c>
      <c r="N87" s="229">
        <v>0.0041536</v>
      </c>
      <c r="O87" s="229"/>
      <c r="P87" s="522">
        <v>0</v>
      </c>
      <c r="Q87" s="229"/>
      <c r="R87" s="869">
        <f t="shared" si="43"/>
        <v>0.0041536</v>
      </c>
      <c r="S87" s="229">
        <f t="shared" si="44"/>
        <v>0</v>
      </c>
      <c r="T87" s="229">
        <f>E87+F87</f>
        <v>0.0041536</v>
      </c>
      <c r="U87" s="229">
        <v>0</v>
      </c>
      <c r="V87" s="299">
        <f t="shared" si="45"/>
        <v>-0.0041536</v>
      </c>
      <c r="W87" s="229">
        <f t="shared" si="46"/>
        <v>-0.0041536</v>
      </c>
      <c r="X87" s="851"/>
      <c r="Y87" s="229"/>
      <c r="Z87" s="229">
        <f t="shared" si="47"/>
        <v>-0.0041536</v>
      </c>
      <c r="AA87" s="868" t="s">
        <v>983</v>
      </c>
    </row>
    <row r="88" spans="1:27" ht="30.75" customHeight="1">
      <c r="A88" s="19">
        <v>6</v>
      </c>
      <c r="B88" s="447" t="s">
        <v>1016</v>
      </c>
      <c r="C88" s="5"/>
      <c r="D88" s="229">
        <v>0</v>
      </c>
      <c r="E88" s="229">
        <f t="shared" si="41"/>
        <v>2.0237</v>
      </c>
      <c r="F88" s="229">
        <f t="shared" si="42"/>
        <v>0</v>
      </c>
      <c r="G88" s="857">
        <v>0</v>
      </c>
      <c r="H88" s="229"/>
      <c r="I88" s="229"/>
      <c r="J88" s="522">
        <f t="shared" si="48"/>
        <v>0</v>
      </c>
      <c r="K88" s="229"/>
      <c r="L88" s="229"/>
      <c r="M88" s="522">
        <v>0</v>
      </c>
      <c r="N88" s="229"/>
      <c r="O88" s="229"/>
      <c r="P88" s="522">
        <v>0</v>
      </c>
      <c r="Q88" s="883">
        <f>1.715*1.18</f>
        <v>2.0237</v>
      </c>
      <c r="R88" s="869">
        <f t="shared" si="43"/>
        <v>2.0237</v>
      </c>
      <c r="S88" s="229">
        <f t="shared" si="44"/>
        <v>2.0237</v>
      </c>
      <c r="T88" s="229">
        <v>0</v>
      </c>
      <c r="U88" s="229">
        <v>0</v>
      </c>
      <c r="V88" s="299">
        <f t="shared" si="45"/>
        <v>-2.0237</v>
      </c>
      <c r="W88" s="229">
        <f t="shared" si="46"/>
        <v>-2.0237</v>
      </c>
      <c r="X88" s="851"/>
      <c r="Y88" s="229"/>
      <c r="Z88" s="229">
        <f t="shared" si="47"/>
        <v>-2.0237</v>
      </c>
      <c r="AA88" s="868" t="s">
        <v>1009</v>
      </c>
    </row>
    <row r="89" spans="1:27" ht="30.75" customHeight="1">
      <c r="A89" s="19">
        <v>7</v>
      </c>
      <c r="B89" s="447" t="s">
        <v>1017</v>
      </c>
      <c r="C89" s="5"/>
      <c r="D89" s="229">
        <v>0</v>
      </c>
      <c r="E89" s="229">
        <f t="shared" si="41"/>
        <v>0.28414399999999995</v>
      </c>
      <c r="F89" s="229">
        <f t="shared" si="42"/>
        <v>0</v>
      </c>
      <c r="G89" s="857">
        <v>0</v>
      </c>
      <c r="H89" s="229"/>
      <c r="I89" s="229"/>
      <c r="J89" s="522">
        <f t="shared" si="48"/>
        <v>0</v>
      </c>
      <c r="K89" s="229"/>
      <c r="L89" s="229"/>
      <c r="M89" s="522">
        <v>0</v>
      </c>
      <c r="N89" s="229"/>
      <c r="O89" s="229"/>
      <c r="P89" s="522">
        <v>0</v>
      </c>
      <c r="Q89" s="883">
        <f>0.2408*1.18</f>
        <v>0.28414399999999995</v>
      </c>
      <c r="R89" s="869">
        <f t="shared" si="43"/>
        <v>0.28414399999999995</v>
      </c>
      <c r="S89" s="229">
        <f t="shared" si="44"/>
        <v>0.28414399999999995</v>
      </c>
      <c r="T89" s="229">
        <f>E89+F89</f>
        <v>0.28414399999999995</v>
      </c>
      <c r="U89" s="229">
        <f>T89</f>
        <v>0.28414399999999995</v>
      </c>
      <c r="V89" s="299">
        <f t="shared" si="45"/>
        <v>-0.28414399999999995</v>
      </c>
      <c r="W89" s="229">
        <f t="shared" si="46"/>
        <v>-0.28414399999999995</v>
      </c>
      <c r="X89" s="851"/>
      <c r="Y89" s="229"/>
      <c r="Z89" s="229">
        <f t="shared" si="47"/>
        <v>-0.28414399999999995</v>
      </c>
      <c r="AA89" s="868" t="s">
        <v>1009</v>
      </c>
    </row>
    <row r="90" spans="1:27" ht="30.75" customHeight="1">
      <c r="A90" s="19">
        <v>8</v>
      </c>
      <c r="B90" s="447" t="s">
        <v>1018</v>
      </c>
      <c r="C90" s="5"/>
      <c r="D90" s="229">
        <v>0</v>
      </c>
      <c r="E90" s="229">
        <f t="shared" si="41"/>
        <v>0.788771</v>
      </c>
      <c r="F90" s="229">
        <f t="shared" si="42"/>
        <v>0</v>
      </c>
      <c r="G90" s="857">
        <v>0</v>
      </c>
      <c r="H90" s="229"/>
      <c r="I90" s="229"/>
      <c r="J90" s="522">
        <f t="shared" si="48"/>
        <v>0</v>
      </c>
      <c r="K90" s="229"/>
      <c r="L90" s="229"/>
      <c r="M90" s="522">
        <v>0</v>
      </c>
      <c r="N90" s="229"/>
      <c r="O90" s="229"/>
      <c r="P90" s="522">
        <v>0</v>
      </c>
      <c r="Q90" s="883">
        <f>0.66845*1.18</f>
        <v>0.788771</v>
      </c>
      <c r="R90" s="869">
        <f t="shared" si="43"/>
        <v>0.788771</v>
      </c>
      <c r="S90" s="229">
        <f t="shared" si="44"/>
        <v>0.788771</v>
      </c>
      <c r="T90" s="229">
        <f>E90+F90</f>
        <v>0.788771</v>
      </c>
      <c r="U90" s="229">
        <f>T90</f>
        <v>0.788771</v>
      </c>
      <c r="V90" s="299">
        <f t="shared" si="45"/>
        <v>-0.788771</v>
      </c>
      <c r="W90" s="229">
        <f t="shared" si="46"/>
        <v>-0.788771</v>
      </c>
      <c r="X90" s="851"/>
      <c r="Y90" s="229"/>
      <c r="Z90" s="229">
        <f t="shared" si="47"/>
        <v>-0.788771</v>
      </c>
      <c r="AA90" s="868" t="s">
        <v>1009</v>
      </c>
    </row>
    <row r="91" spans="1:27" ht="30.75" customHeight="1">
      <c r="A91" s="19">
        <v>9</v>
      </c>
      <c r="B91" s="447" t="s">
        <v>1019</v>
      </c>
      <c r="C91" s="5"/>
      <c r="D91" s="229">
        <v>0</v>
      </c>
      <c r="E91" s="229">
        <f t="shared" si="41"/>
        <v>0.413413</v>
      </c>
      <c r="F91" s="229">
        <f t="shared" si="42"/>
        <v>0</v>
      </c>
      <c r="G91" s="857">
        <v>0</v>
      </c>
      <c r="H91" s="229"/>
      <c r="I91" s="229"/>
      <c r="J91" s="522">
        <f t="shared" si="48"/>
        <v>0</v>
      </c>
      <c r="K91" s="229"/>
      <c r="L91" s="229"/>
      <c r="M91" s="522">
        <v>0</v>
      </c>
      <c r="N91" s="229"/>
      <c r="O91" s="229"/>
      <c r="P91" s="522">
        <v>0</v>
      </c>
      <c r="Q91" s="883">
        <f>0.35035*1.18</f>
        <v>0.413413</v>
      </c>
      <c r="R91" s="869">
        <f t="shared" si="43"/>
        <v>0.413413</v>
      </c>
      <c r="S91" s="229">
        <f t="shared" si="44"/>
        <v>0.413413</v>
      </c>
      <c r="T91" s="229">
        <f>E91+F91</f>
        <v>0.413413</v>
      </c>
      <c r="U91" s="229">
        <f>T91</f>
        <v>0.413413</v>
      </c>
      <c r="V91" s="299">
        <f t="shared" si="45"/>
        <v>-0.413413</v>
      </c>
      <c r="W91" s="229">
        <f t="shared" si="46"/>
        <v>-0.413413</v>
      </c>
      <c r="X91" s="851"/>
      <c r="Y91" s="229"/>
      <c r="Z91" s="229">
        <f t="shared" si="47"/>
        <v>-0.413413</v>
      </c>
      <c r="AA91" s="868" t="s">
        <v>1009</v>
      </c>
    </row>
    <row r="92" spans="1:27" ht="30.75" customHeight="1">
      <c r="A92" s="19">
        <v>10</v>
      </c>
      <c r="B92" s="447" t="s">
        <v>1020</v>
      </c>
      <c r="C92" s="5"/>
      <c r="D92" s="229">
        <v>0</v>
      </c>
      <c r="E92" s="229">
        <f t="shared" si="41"/>
        <v>2.2225064</v>
      </c>
      <c r="F92" s="229">
        <f t="shared" si="42"/>
        <v>0</v>
      </c>
      <c r="G92" s="857">
        <v>0</v>
      </c>
      <c r="H92" s="229"/>
      <c r="I92" s="229"/>
      <c r="J92" s="522">
        <f t="shared" si="48"/>
        <v>0</v>
      </c>
      <c r="K92" s="229"/>
      <c r="L92" s="229"/>
      <c r="M92" s="522">
        <v>0</v>
      </c>
      <c r="N92" s="229"/>
      <c r="O92" s="229"/>
      <c r="P92" s="522">
        <v>0</v>
      </c>
      <c r="Q92" s="883">
        <f>1.88348*1.18</f>
        <v>2.2225064</v>
      </c>
      <c r="R92" s="869">
        <f t="shared" si="43"/>
        <v>2.2225064</v>
      </c>
      <c r="S92" s="229">
        <f t="shared" si="44"/>
        <v>2.2225064</v>
      </c>
      <c r="T92" s="229">
        <f>E92+F92</f>
        <v>2.2225064</v>
      </c>
      <c r="U92" s="229">
        <f>T92</f>
        <v>2.2225064</v>
      </c>
      <c r="V92" s="299">
        <f t="shared" si="45"/>
        <v>-2.2225064</v>
      </c>
      <c r="W92" s="229">
        <f t="shared" si="46"/>
        <v>-2.2225064</v>
      </c>
      <c r="X92" s="851"/>
      <c r="Y92" s="229"/>
      <c r="Z92" s="229">
        <f t="shared" si="47"/>
        <v>-2.2225064</v>
      </c>
      <c r="AA92" s="868" t="s">
        <v>1009</v>
      </c>
    </row>
    <row r="93" spans="1:27" s="657" customFormat="1" ht="15.75">
      <c r="A93" s="842" t="s">
        <v>862</v>
      </c>
      <c r="B93" s="843" t="s">
        <v>562</v>
      </c>
      <c r="C93" s="844"/>
      <c r="D93" s="845">
        <f aca="true" t="shared" si="49" ref="D93:P93">SUM(D94)</f>
        <v>2.5233592</v>
      </c>
      <c r="E93" s="845">
        <f t="shared" si="49"/>
        <v>2.6378782</v>
      </c>
      <c r="F93" s="845">
        <f t="shared" si="49"/>
        <v>0</v>
      </c>
      <c r="G93" s="860">
        <f t="shared" si="49"/>
        <v>0</v>
      </c>
      <c r="H93" s="845">
        <f t="shared" si="49"/>
        <v>0</v>
      </c>
      <c r="I93" s="845">
        <f t="shared" si="49"/>
        <v>0</v>
      </c>
      <c r="J93" s="860">
        <f t="shared" si="49"/>
        <v>2.5233592</v>
      </c>
      <c r="K93" s="845">
        <f t="shared" si="49"/>
        <v>0</v>
      </c>
      <c r="L93" s="845">
        <f t="shared" si="49"/>
        <v>0</v>
      </c>
      <c r="M93" s="860">
        <f t="shared" si="49"/>
        <v>0</v>
      </c>
      <c r="N93" s="845">
        <f t="shared" si="49"/>
        <v>2.6378782</v>
      </c>
      <c r="O93" s="845">
        <f t="shared" si="49"/>
        <v>0</v>
      </c>
      <c r="P93" s="860">
        <f t="shared" si="49"/>
        <v>0</v>
      </c>
      <c r="Q93" s="845">
        <f aca="true" t="shared" si="50" ref="Q93:W93">SUM(Q94)</f>
        <v>0</v>
      </c>
      <c r="R93" s="879">
        <f t="shared" si="50"/>
        <v>2.6378782</v>
      </c>
      <c r="S93" s="845">
        <f t="shared" si="50"/>
        <v>0</v>
      </c>
      <c r="T93" s="845">
        <f t="shared" si="50"/>
        <v>0</v>
      </c>
      <c r="U93" s="845">
        <f t="shared" si="50"/>
        <v>0</v>
      </c>
      <c r="V93" s="845">
        <f t="shared" si="50"/>
        <v>-0.11451900000000004</v>
      </c>
      <c r="W93" s="845">
        <f t="shared" si="50"/>
        <v>-0.11451900000000004</v>
      </c>
      <c r="X93" s="654"/>
      <c r="Y93" s="845">
        <f>SUM(Y94)</f>
        <v>0</v>
      </c>
      <c r="Z93" s="845">
        <f>SUM(Z94)</f>
        <v>-0.11451900000000004</v>
      </c>
      <c r="AA93" s="846"/>
    </row>
    <row r="94" spans="1:27" ht="27.75" customHeight="1">
      <c r="A94" s="19">
        <v>1</v>
      </c>
      <c r="B94" s="447" t="s">
        <v>863</v>
      </c>
      <c r="C94" s="5"/>
      <c r="D94" s="229">
        <v>2.5233592</v>
      </c>
      <c r="E94" s="229">
        <f>H94+K94+N94+Q94</f>
        <v>2.6378782</v>
      </c>
      <c r="F94" s="229">
        <f>I94+L94+O94</f>
        <v>0</v>
      </c>
      <c r="G94" s="857">
        <v>0</v>
      </c>
      <c r="H94" s="229"/>
      <c r="I94" s="229"/>
      <c r="J94" s="857">
        <f>D94</f>
        <v>2.5233592</v>
      </c>
      <c r="K94" s="229"/>
      <c r="L94" s="229"/>
      <c r="M94" s="857">
        <v>0</v>
      </c>
      <c r="N94" s="229">
        <f>2.23549*1.18</f>
        <v>2.6378782</v>
      </c>
      <c r="O94" s="229"/>
      <c r="P94" s="522">
        <v>0</v>
      </c>
      <c r="Q94" s="229"/>
      <c r="R94" s="869">
        <f>E94+F94</f>
        <v>2.6378782</v>
      </c>
      <c r="S94" s="229">
        <f>Q94</f>
        <v>0</v>
      </c>
      <c r="T94" s="229"/>
      <c r="U94" s="229"/>
      <c r="V94" s="299">
        <f>D94-E94-F94</f>
        <v>-0.11451900000000004</v>
      </c>
      <c r="W94" s="229">
        <f>V94</f>
        <v>-0.11451900000000004</v>
      </c>
      <c r="X94" s="851">
        <f>W94/D94</f>
        <v>-0.04538355062568977</v>
      </c>
      <c r="Y94" s="229"/>
      <c r="Z94" s="229">
        <f>W94</f>
        <v>-0.11451900000000004</v>
      </c>
      <c r="AA94" s="7" t="s">
        <v>1023</v>
      </c>
    </row>
    <row r="95" spans="1:27" s="657" customFormat="1" ht="15.75">
      <c r="A95" s="842" t="s">
        <v>900</v>
      </c>
      <c r="B95" s="843" t="s">
        <v>563</v>
      </c>
      <c r="C95" s="844"/>
      <c r="D95" s="845">
        <f aca="true" t="shared" si="51" ref="D95:M95">SUM(D96:D97)</f>
        <v>0.22302</v>
      </c>
      <c r="E95" s="845">
        <f t="shared" si="51"/>
        <v>0.5845484</v>
      </c>
      <c r="F95" s="845">
        <f t="shared" si="51"/>
        <v>0</v>
      </c>
      <c r="G95" s="860">
        <f t="shared" si="51"/>
        <v>0</v>
      </c>
      <c r="H95" s="845">
        <f t="shared" si="51"/>
        <v>0</v>
      </c>
      <c r="I95" s="845">
        <f t="shared" si="51"/>
        <v>0</v>
      </c>
      <c r="J95" s="860">
        <f t="shared" si="51"/>
        <v>0.22302</v>
      </c>
      <c r="K95" s="845">
        <f t="shared" si="51"/>
        <v>0</v>
      </c>
      <c r="L95" s="845">
        <f t="shared" si="51"/>
        <v>0</v>
      </c>
      <c r="M95" s="860">
        <f t="shared" si="51"/>
        <v>0</v>
      </c>
      <c r="N95" s="845">
        <f>SUM(N96:N97)</f>
        <v>0.3323234</v>
      </c>
      <c r="O95" s="845">
        <f aca="true" t="shared" si="52" ref="O95:W95">SUM(O96:O97)</f>
        <v>0</v>
      </c>
      <c r="P95" s="860">
        <f t="shared" si="52"/>
        <v>0</v>
      </c>
      <c r="Q95" s="845">
        <f t="shared" si="52"/>
        <v>0.252225</v>
      </c>
      <c r="R95" s="879">
        <f t="shared" si="52"/>
        <v>0.5845484</v>
      </c>
      <c r="S95" s="845">
        <f t="shared" si="52"/>
        <v>0.252225</v>
      </c>
      <c r="T95" s="845">
        <f t="shared" si="52"/>
        <v>0.3323234</v>
      </c>
      <c r="U95" s="845">
        <f t="shared" si="52"/>
        <v>0</v>
      </c>
      <c r="V95" s="845">
        <f t="shared" si="52"/>
        <v>-0.36152839999999997</v>
      </c>
      <c r="W95" s="845">
        <f t="shared" si="52"/>
        <v>-0.36152839999999997</v>
      </c>
      <c r="X95" s="654"/>
      <c r="Y95" s="845">
        <f>SUM(Y96)</f>
        <v>0</v>
      </c>
      <c r="Z95" s="845">
        <f>SUM(Z96:Z97)</f>
        <v>-0.36152839999999997</v>
      </c>
      <c r="AA95" s="846"/>
    </row>
    <row r="96" spans="1:27" ht="44.25" customHeight="1">
      <c r="A96" s="19">
        <v>1</v>
      </c>
      <c r="B96" s="447" t="s">
        <v>864</v>
      </c>
      <c r="C96" s="5"/>
      <c r="D96" s="229">
        <v>0.22302</v>
      </c>
      <c r="E96" s="229">
        <f>H96+K96+N96+Q96</f>
        <v>0.252225</v>
      </c>
      <c r="F96" s="229">
        <f>I96+L96+O96</f>
        <v>0</v>
      </c>
      <c r="G96" s="857">
        <v>0</v>
      </c>
      <c r="H96" s="229"/>
      <c r="I96" s="229"/>
      <c r="J96" s="857">
        <f>D96</f>
        <v>0.22302</v>
      </c>
      <c r="K96" s="229"/>
      <c r="L96" s="229"/>
      <c r="M96" s="857">
        <v>0</v>
      </c>
      <c r="N96" s="229"/>
      <c r="O96" s="229"/>
      <c r="P96" s="522">
        <v>0</v>
      </c>
      <c r="Q96" s="883">
        <f>0.21375*1.18</f>
        <v>0.252225</v>
      </c>
      <c r="R96" s="869">
        <f>E96+F96</f>
        <v>0.252225</v>
      </c>
      <c r="S96" s="229">
        <f>Q96</f>
        <v>0.252225</v>
      </c>
      <c r="T96" s="229"/>
      <c r="U96" s="229"/>
      <c r="V96" s="299">
        <f>D96-E96-F96</f>
        <v>-0.02920499999999998</v>
      </c>
      <c r="W96" s="229">
        <f>V96</f>
        <v>-0.02920499999999998</v>
      </c>
      <c r="X96" s="851">
        <f>W96/D96</f>
        <v>-0.13095238095238088</v>
      </c>
      <c r="Y96" s="229"/>
      <c r="Z96" s="229">
        <f>W96</f>
        <v>-0.02920499999999998</v>
      </c>
      <c r="AA96" s="7"/>
    </row>
    <row r="97" spans="1:27" ht="33.75" customHeight="1">
      <c r="A97" s="19">
        <v>2</v>
      </c>
      <c r="B97" s="447" t="s">
        <v>993</v>
      </c>
      <c r="C97" s="5"/>
      <c r="D97" s="229">
        <v>0</v>
      </c>
      <c r="E97" s="229">
        <f>H97+K97+N97+Q97</f>
        <v>0.3323234</v>
      </c>
      <c r="F97" s="229">
        <f>I97+L97+O97</f>
        <v>0</v>
      </c>
      <c r="G97" s="857">
        <v>0</v>
      </c>
      <c r="H97" s="229"/>
      <c r="I97" s="229"/>
      <c r="J97" s="857">
        <f>D97</f>
        <v>0</v>
      </c>
      <c r="K97" s="229"/>
      <c r="L97" s="229"/>
      <c r="M97" s="857">
        <v>0</v>
      </c>
      <c r="N97" s="229">
        <f>281.63*1.18/1000</f>
        <v>0.3323234</v>
      </c>
      <c r="O97" s="229"/>
      <c r="P97" s="522">
        <v>0</v>
      </c>
      <c r="Q97" s="229"/>
      <c r="R97" s="869">
        <f>E97+F97</f>
        <v>0.3323234</v>
      </c>
      <c r="S97" s="229">
        <f>Q97</f>
        <v>0</v>
      </c>
      <c r="T97" s="229">
        <f>E97+F97</f>
        <v>0.3323234</v>
      </c>
      <c r="U97" s="229">
        <v>0</v>
      </c>
      <c r="V97" s="299">
        <f>D97-E97-F97</f>
        <v>-0.3323234</v>
      </c>
      <c r="W97" s="229">
        <f>V97</f>
        <v>-0.3323234</v>
      </c>
      <c r="X97" s="851"/>
      <c r="Y97" s="229"/>
      <c r="Z97" s="229">
        <f>W97</f>
        <v>-0.3323234</v>
      </c>
      <c r="AA97" s="7"/>
    </row>
    <row r="98" spans="1:27" ht="87.75" customHeight="1">
      <c r="A98" s="822" t="s">
        <v>640</v>
      </c>
      <c r="B98" s="832" t="s">
        <v>804</v>
      </c>
      <c r="C98" s="823"/>
      <c r="D98" s="824">
        <v>0</v>
      </c>
      <c r="E98" s="824">
        <v>0</v>
      </c>
      <c r="F98" s="824">
        <v>0</v>
      </c>
      <c r="G98" s="824">
        <v>0</v>
      </c>
      <c r="H98" s="824">
        <v>0</v>
      </c>
      <c r="I98" s="824">
        <v>0</v>
      </c>
      <c r="J98" s="824">
        <v>0</v>
      </c>
      <c r="K98" s="824">
        <v>0</v>
      </c>
      <c r="L98" s="824">
        <v>0</v>
      </c>
      <c r="M98" s="824">
        <v>0</v>
      </c>
      <c r="N98" s="824">
        <v>0</v>
      </c>
      <c r="O98" s="824">
        <v>0</v>
      </c>
      <c r="P98" s="824">
        <v>0</v>
      </c>
      <c r="Q98" s="824">
        <v>0</v>
      </c>
      <c r="R98" s="877">
        <v>0</v>
      </c>
      <c r="S98" s="824">
        <v>0</v>
      </c>
      <c r="T98" s="824">
        <v>0</v>
      </c>
      <c r="U98" s="824">
        <v>0</v>
      </c>
      <c r="V98" s="824">
        <v>0</v>
      </c>
      <c r="W98" s="824">
        <v>0</v>
      </c>
      <c r="X98" s="824"/>
      <c r="Y98" s="824">
        <v>0</v>
      </c>
      <c r="Z98" s="824">
        <v>0</v>
      </c>
      <c r="AA98" s="825"/>
    </row>
    <row r="99" spans="1:27" ht="56.25" customHeight="1">
      <c r="A99" s="19"/>
      <c r="B99" s="854"/>
      <c r="C99" s="5"/>
      <c r="D99" s="840"/>
      <c r="E99" s="229"/>
      <c r="F99" s="229"/>
      <c r="G99" s="522"/>
      <c r="H99" s="229"/>
      <c r="I99" s="229"/>
      <c r="J99" s="522"/>
      <c r="K99" s="229"/>
      <c r="L99" s="229"/>
      <c r="M99" s="522"/>
      <c r="N99" s="229"/>
      <c r="O99" s="229"/>
      <c r="P99" s="522"/>
      <c r="Q99" s="229"/>
      <c r="R99" s="869">
        <f>E99+F99</f>
        <v>0</v>
      </c>
      <c r="S99" s="229">
        <f>N99+O99</f>
        <v>0</v>
      </c>
      <c r="T99" s="229"/>
      <c r="U99" s="229"/>
      <c r="V99" s="299"/>
      <c r="W99" s="229"/>
      <c r="X99" s="851"/>
      <c r="Y99" s="229"/>
      <c r="Z99" s="229"/>
      <c r="AA99" s="7"/>
    </row>
    <row r="100" spans="1:27" ht="15.75">
      <c r="A100" s="279" t="s">
        <v>614</v>
      </c>
      <c r="B100" s="214" t="s">
        <v>659</v>
      </c>
      <c r="C100" s="214"/>
      <c r="D100" s="289">
        <f aca="true" t="shared" si="53" ref="D100:W100">D101+D105</f>
        <v>63.059341599999996</v>
      </c>
      <c r="E100" s="289">
        <f t="shared" si="53"/>
        <v>50.6190212316</v>
      </c>
      <c r="F100" s="289">
        <f>F101+F105</f>
        <v>0</v>
      </c>
      <c r="G100" s="289">
        <f t="shared" si="53"/>
        <v>0</v>
      </c>
      <c r="H100" s="289">
        <f t="shared" si="53"/>
        <v>9.7242332316</v>
      </c>
      <c r="I100" s="289">
        <f>I101+I105</f>
        <v>0</v>
      </c>
      <c r="J100" s="289">
        <f t="shared" si="53"/>
        <v>28.1852322</v>
      </c>
      <c r="K100" s="289">
        <f t="shared" si="53"/>
        <v>0.021145599999999997</v>
      </c>
      <c r="L100" s="289">
        <f>L101+L105</f>
        <v>0</v>
      </c>
      <c r="M100" s="289">
        <f t="shared" si="53"/>
        <v>27.456993999999998</v>
      </c>
      <c r="N100" s="289">
        <f>N101+N105</f>
        <v>9.842344599999997</v>
      </c>
      <c r="O100" s="289">
        <f>O101+O105</f>
        <v>0</v>
      </c>
      <c r="P100" s="289">
        <f t="shared" si="53"/>
        <v>7.417</v>
      </c>
      <c r="Q100" s="289">
        <f t="shared" si="53"/>
        <v>31.031297799999994</v>
      </c>
      <c r="R100" s="876">
        <f t="shared" si="53"/>
        <v>50.6190212316</v>
      </c>
      <c r="S100" s="289">
        <f t="shared" si="53"/>
        <v>31.031297799999994</v>
      </c>
      <c r="T100" s="289">
        <f t="shared" si="53"/>
        <v>0.044303831599999996</v>
      </c>
      <c r="U100" s="289">
        <f t="shared" si="53"/>
        <v>0.044303831599999996</v>
      </c>
      <c r="V100" s="289">
        <f t="shared" si="53"/>
        <v>12.440320368400007</v>
      </c>
      <c r="W100" s="289">
        <f t="shared" si="53"/>
        <v>12.440320368400007</v>
      </c>
      <c r="X100" s="289"/>
      <c r="Y100" s="289">
        <f>Y101+Y105</f>
        <v>0</v>
      </c>
      <c r="Z100" s="289">
        <f>Z101+Z105</f>
        <v>12.440320368400007</v>
      </c>
      <c r="AA100" s="281"/>
    </row>
    <row r="101" spans="1:27" s="827" customFormat="1" ht="15.75">
      <c r="A101" s="822" t="s">
        <v>615</v>
      </c>
      <c r="B101" s="823" t="s">
        <v>803</v>
      </c>
      <c r="C101" s="823"/>
      <c r="D101" s="824">
        <f aca="true" t="shared" si="54" ref="D101:W101">D102+D103+D104</f>
        <v>0</v>
      </c>
      <c r="E101" s="824">
        <f t="shared" si="54"/>
        <v>0</v>
      </c>
      <c r="F101" s="824">
        <f>F102+F103+F104</f>
        <v>0</v>
      </c>
      <c r="G101" s="824">
        <f t="shared" si="54"/>
        <v>0</v>
      </c>
      <c r="H101" s="824">
        <f t="shared" si="54"/>
        <v>0</v>
      </c>
      <c r="I101" s="824">
        <f>I102+I103+I104</f>
        <v>0</v>
      </c>
      <c r="J101" s="824">
        <f t="shared" si="54"/>
        <v>0</v>
      </c>
      <c r="K101" s="824">
        <f t="shared" si="54"/>
        <v>0</v>
      </c>
      <c r="L101" s="824">
        <f>L102+L103+L104</f>
        <v>0</v>
      </c>
      <c r="M101" s="824">
        <f t="shared" si="54"/>
        <v>0</v>
      </c>
      <c r="N101" s="824">
        <f>N102+N103+N104</f>
        <v>0</v>
      </c>
      <c r="O101" s="824">
        <f>O102+O103+O104</f>
        <v>0</v>
      </c>
      <c r="P101" s="824">
        <f t="shared" si="54"/>
        <v>0</v>
      </c>
      <c r="Q101" s="824">
        <f t="shared" si="54"/>
        <v>0</v>
      </c>
      <c r="R101" s="877">
        <f t="shared" si="54"/>
        <v>0</v>
      </c>
      <c r="S101" s="824">
        <f t="shared" si="54"/>
        <v>0</v>
      </c>
      <c r="T101" s="824">
        <f t="shared" si="54"/>
        <v>0</v>
      </c>
      <c r="U101" s="824">
        <f t="shared" si="54"/>
        <v>0</v>
      </c>
      <c r="V101" s="824">
        <f t="shared" si="54"/>
        <v>0</v>
      </c>
      <c r="W101" s="824">
        <f t="shared" si="54"/>
        <v>0</v>
      </c>
      <c r="X101" s="824"/>
      <c r="Y101" s="824">
        <f>Y102+Y103+Y104</f>
        <v>0</v>
      </c>
      <c r="Z101" s="824">
        <f>Z102+Z103+Z104</f>
        <v>0</v>
      </c>
      <c r="AA101" s="825"/>
    </row>
    <row r="102" spans="1:27" ht="15.75">
      <c r="A102" s="278" t="s">
        <v>678</v>
      </c>
      <c r="B102" s="826" t="s">
        <v>800</v>
      </c>
      <c r="C102" s="275"/>
      <c r="D102" s="290">
        <v>0</v>
      </c>
      <c r="E102" s="290">
        <v>0</v>
      </c>
      <c r="F102" s="290">
        <v>0</v>
      </c>
      <c r="G102" s="290">
        <v>0</v>
      </c>
      <c r="H102" s="290">
        <v>0</v>
      </c>
      <c r="I102" s="290">
        <v>0</v>
      </c>
      <c r="J102" s="290">
        <v>0</v>
      </c>
      <c r="K102" s="290">
        <v>0</v>
      </c>
      <c r="L102" s="290">
        <v>0</v>
      </c>
      <c r="M102" s="290">
        <v>0</v>
      </c>
      <c r="N102" s="290">
        <v>0</v>
      </c>
      <c r="O102" s="290">
        <v>0</v>
      </c>
      <c r="P102" s="290">
        <v>0</v>
      </c>
      <c r="Q102" s="290">
        <v>0</v>
      </c>
      <c r="R102" s="878">
        <v>0</v>
      </c>
      <c r="S102" s="290">
        <v>0</v>
      </c>
      <c r="T102" s="290">
        <v>0</v>
      </c>
      <c r="U102" s="290">
        <v>0</v>
      </c>
      <c r="V102" s="290">
        <v>0</v>
      </c>
      <c r="W102" s="290">
        <v>0</v>
      </c>
      <c r="X102" s="290"/>
      <c r="Y102" s="290">
        <v>0</v>
      </c>
      <c r="Z102" s="290">
        <v>0</v>
      </c>
      <c r="AA102" s="277"/>
    </row>
    <row r="103" spans="1:27" ht="15.75">
      <c r="A103" s="278" t="s">
        <v>679</v>
      </c>
      <c r="B103" s="826" t="s">
        <v>806</v>
      </c>
      <c r="C103" s="275"/>
      <c r="D103" s="290">
        <v>0</v>
      </c>
      <c r="E103" s="290">
        <v>0</v>
      </c>
      <c r="F103" s="290">
        <v>0</v>
      </c>
      <c r="G103" s="290">
        <v>0</v>
      </c>
      <c r="H103" s="290">
        <v>0</v>
      </c>
      <c r="I103" s="290">
        <v>0</v>
      </c>
      <c r="J103" s="290">
        <v>0</v>
      </c>
      <c r="K103" s="290">
        <v>0</v>
      </c>
      <c r="L103" s="290">
        <v>0</v>
      </c>
      <c r="M103" s="290">
        <v>0</v>
      </c>
      <c r="N103" s="290">
        <v>0</v>
      </c>
      <c r="O103" s="290">
        <v>0</v>
      </c>
      <c r="P103" s="290">
        <v>0</v>
      </c>
      <c r="Q103" s="290">
        <v>0</v>
      </c>
      <c r="R103" s="878">
        <v>0</v>
      </c>
      <c r="S103" s="290">
        <v>0</v>
      </c>
      <c r="T103" s="290">
        <v>0</v>
      </c>
      <c r="U103" s="290">
        <v>0</v>
      </c>
      <c r="V103" s="290">
        <v>0</v>
      </c>
      <c r="W103" s="290">
        <v>0</v>
      </c>
      <c r="X103" s="290"/>
      <c r="Y103" s="290">
        <v>0</v>
      </c>
      <c r="Z103" s="290">
        <v>0</v>
      </c>
      <c r="AA103" s="277"/>
    </row>
    <row r="104" spans="1:27" ht="15.75">
      <c r="A104" s="278" t="s">
        <v>865</v>
      </c>
      <c r="B104" s="826" t="s">
        <v>802</v>
      </c>
      <c r="C104" s="275"/>
      <c r="D104" s="290">
        <v>0</v>
      </c>
      <c r="E104" s="290">
        <v>0</v>
      </c>
      <c r="F104" s="290">
        <v>0</v>
      </c>
      <c r="G104" s="290">
        <v>0</v>
      </c>
      <c r="H104" s="290">
        <v>0</v>
      </c>
      <c r="I104" s="290">
        <v>0</v>
      </c>
      <c r="J104" s="290">
        <v>0</v>
      </c>
      <c r="K104" s="290">
        <v>0</v>
      </c>
      <c r="L104" s="290">
        <v>0</v>
      </c>
      <c r="M104" s="290">
        <v>0</v>
      </c>
      <c r="N104" s="290">
        <v>0</v>
      </c>
      <c r="O104" s="290">
        <v>0</v>
      </c>
      <c r="P104" s="290">
        <v>0</v>
      </c>
      <c r="Q104" s="290">
        <v>0</v>
      </c>
      <c r="R104" s="878">
        <v>0</v>
      </c>
      <c r="S104" s="290">
        <v>0</v>
      </c>
      <c r="T104" s="290">
        <v>0</v>
      </c>
      <c r="U104" s="290">
        <v>0</v>
      </c>
      <c r="V104" s="290">
        <v>0</v>
      </c>
      <c r="W104" s="290">
        <v>0</v>
      </c>
      <c r="X104" s="290"/>
      <c r="Y104" s="290">
        <v>0</v>
      </c>
      <c r="Z104" s="290">
        <v>0</v>
      </c>
      <c r="AA104" s="290"/>
    </row>
    <row r="105" spans="1:27" s="827" customFormat="1" ht="78.75">
      <c r="A105" s="822" t="s">
        <v>616</v>
      </c>
      <c r="B105" s="823" t="s">
        <v>804</v>
      </c>
      <c r="C105" s="823"/>
      <c r="D105" s="824">
        <f>D106+D118+D129+D139+D143</f>
        <v>63.059341599999996</v>
      </c>
      <c r="E105" s="824">
        <f aca="true" t="shared" si="55" ref="E105:W105">E106+E118+E129+E139+E143</f>
        <v>50.6190212316</v>
      </c>
      <c r="F105" s="824">
        <f>F106+F118+F129+F139+F143</f>
        <v>0</v>
      </c>
      <c r="G105" s="824">
        <f t="shared" si="55"/>
        <v>0</v>
      </c>
      <c r="H105" s="824">
        <f t="shared" si="55"/>
        <v>9.7242332316</v>
      </c>
      <c r="I105" s="824">
        <f>I106+I118+I129+I139+I143</f>
        <v>0</v>
      </c>
      <c r="J105" s="824">
        <f t="shared" si="55"/>
        <v>28.1852322</v>
      </c>
      <c r="K105" s="824">
        <f t="shared" si="55"/>
        <v>0.021145599999999997</v>
      </c>
      <c r="L105" s="824">
        <f>L106+L118+L129+L139+L143</f>
        <v>0</v>
      </c>
      <c r="M105" s="824">
        <f t="shared" si="55"/>
        <v>27.456993999999998</v>
      </c>
      <c r="N105" s="824">
        <f>N106+N118+N129+N139+N143</f>
        <v>9.842344599999997</v>
      </c>
      <c r="O105" s="824">
        <f>O106+O118+O129+O139+O143</f>
        <v>0</v>
      </c>
      <c r="P105" s="824">
        <f t="shared" si="55"/>
        <v>7.417</v>
      </c>
      <c r="Q105" s="824">
        <f t="shared" si="55"/>
        <v>31.031297799999994</v>
      </c>
      <c r="R105" s="877">
        <f t="shared" si="55"/>
        <v>50.6190212316</v>
      </c>
      <c r="S105" s="824">
        <f t="shared" si="55"/>
        <v>31.031297799999994</v>
      </c>
      <c r="T105" s="824">
        <f t="shared" si="55"/>
        <v>0.044303831599999996</v>
      </c>
      <c r="U105" s="824">
        <f t="shared" si="55"/>
        <v>0.044303831599999996</v>
      </c>
      <c r="V105" s="824">
        <f t="shared" si="55"/>
        <v>12.440320368400007</v>
      </c>
      <c r="W105" s="824">
        <f t="shared" si="55"/>
        <v>12.440320368400007</v>
      </c>
      <c r="X105" s="824"/>
      <c r="Y105" s="824">
        <f>Y106+Y118+Y129+Y139+Y143</f>
        <v>0</v>
      </c>
      <c r="Z105" s="824">
        <f>Z106+Z118+Z129+Z139+Z143</f>
        <v>12.440320368400007</v>
      </c>
      <c r="AA105" s="824"/>
    </row>
    <row r="106" spans="1:27" ht="15.75">
      <c r="A106" s="278" t="s">
        <v>680</v>
      </c>
      <c r="B106" s="826" t="s">
        <v>800</v>
      </c>
      <c r="C106" s="275"/>
      <c r="D106" s="290">
        <f>D107</f>
        <v>27.899093999999998</v>
      </c>
      <c r="E106" s="290">
        <f aca="true" t="shared" si="56" ref="E106:W106">E107</f>
        <v>20.8410368316</v>
      </c>
      <c r="F106" s="290">
        <f t="shared" si="56"/>
        <v>0</v>
      </c>
      <c r="G106" s="290">
        <f t="shared" si="56"/>
        <v>0</v>
      </c>
      <c r="H106" s="290">
        <f t="shared" si="56"/>
        <v>9.4399240316</v>
      </c>
      <c r="I106" s="290">
        <f t="shared" si="56"/>
        <v>0</v>
      </c>
      <c r="J106" s="290">
        <f t="shared" si="56"/>
        <v>22.607962200000003</v>
      </c>
      <c r="K106" s="290">
        <f t="shared" si="56"/>
        <v>0.0018644</v>
      </c>
      <c r="L106" s="290">
        <f t="shared" si="56"/>
        <v>0</v>
      </c>
      <c r="M106" s="290">
        <f t="shared" si="56"/>
        <v>5.2911318000000005</v>
      </c>
      <c r="N106" s="290">
        <f t="shared" si="56"/>
        <v>4.063483399999999</v>
      </c>
      <c r="O106" s="290">
        <f t="shared" si="56"/>
        <v>0</v>
      </c>
      <c r="P106" s="290">
        <f t="shared" si="56"/>
        <v>0</v>
      </c>
      <c r="Q106" s="290">
        <f t="shared" si="56"/>
        <v>7.335764999999999</v>
      </c>
      <c r="R106" s="878">
        <f t="shared" si="56"/>
        <v>20.8410368316</v>
      </c>
      <c r="S106" s="290">
        <f t="shared" si="56"/>
        <v>7.335764999999999</v>
      </c>
      <c r="T106" s="290">
        <f t="shared" si="56"/>
        <v>0.029742631599999996</v>
      </c>
      <c r="U106" s="290">
        <f t="shared" si="56"/>
        <v>0.029742631599999996</v>
      </c>
      <c r="V106" s="290">
        <f t="shared" si="56"/>
        <v>7.058057168400002</v>
      </c>
      <c r="W106" s="290">
        <f t="shared" si="56"/>
        <v>7.058057168400002</v>
      </c>
      <c r="X106" s="290"/>
      <c r="Y106" s="290">
        <f>Y107</f>
        <v>0</v>
      </c>
      <c r="Z106" s="290">
        <f>Z107</f>
        <v>7.058057168400002</v>
      </c>
      <c r="AA106" s="277"/>
    </row>
    <row r="107" spans="1:27" s="657" customFormat="1" ht="15.75">
      <c r="A107" s="842" t="s">
        <v>866</v>
      </c>
      <c r="B107" s="843" t="s">
        <v>561</v>
      </c>
      <c r="C107" s="844"/>
      <c r="D107" s="845">
        <f aca="true" t="shared" si="57" ref="D107:W107">SUM(D108:D117)</f>
        <v>27.899093999999998</v>
      </c>
      <c r="E107" s="845">
        <f t="shared" si="57"/>
        <v>20.8410368316</v>
      </c>
      <c r="F107" s="845">
        <f t="shared" si="57"/>
        <v>0</v>
      </c>
      <c r="G107" s="860">
        <f t="shared" si="57"/>
        <v>0</v>
      </c>
      <c r="H107" s="845">
        <f t="shared" si="57"/>
        <v>9.4399240316</v>
      </c>
      <c r="I107" s="845">
        <f t="shared" si="57"/>
        <v>0</v>
      </c>
      <c r="J107" s="860">
        <f t="shared" si="57"/>
        <v>22.607962200000003</v>
      </c>
      <c r="K107" s="845">
        <f t="shared" si="57"/>
        <v>0.0018644</v>
      </c>
      <c r="L107" s="845">
        <f t="shared" si="57"/>
        <v>0</v>
      </c>
      <c r="M107" s="860">
        <f t="shared" si="57"/>
        <v>5.2911318000000005</v>
      </c>
      <c r="N107" s="845">
        <f t="shared" si="57"/>
        <v>4.063483399999999</v>
      </c>
      <c r="O107" s="845">
        <f t="shared" si="57"/>
        <v>0</v>
      </c>
      <c r="P107" s="860">
        <f t="shared" si="57"/>
        <v>0</v>
      </c>
      <c r="Q107" s="845">
        <f t="shared" si="57"/>
        <v>7.335764999999999</v>
      </c>
      <c r="R107" s="879">
        <f t="shared" si="57"/>
        <v>20.8410368316</v>
      </c>
      <c r="S107" s="845">
        <f t="shared" si="57"/>
        <v>7.335764999999999</v>
      </c>
      <c r="T107" s="845">
        <f t="shared" si="57"/>
        <v>0.029742631599999996</v>
      </c>
      <c r="U107" s="845">
        <f t="shared" si="57"/>
        <v>0.029742631599999996</v>
      </c>
      <c r="V107" s="845">
        <f t="shared" si="57"/>
        <v>7.058057168400002</v>
      </c>
      <c r="W107" s="845">
        <f t="shared" si="57"/>
        <v>7.058057168400002</v>
      </c>
      <c r="X107" s="654"/>
      <c r="Y107" s="845">
        <f>SUM(Y108:Y117)</f>
        <v>0</v>
      </c>
      <c r="Z107" s="845">
        <f>SUM(Z108:Z117)</f>
        <v>7.058057168400002</v>
      </c>
      <c r="AA107" s="846"/>
    </row>
    <row r="108" spans="1:27" ht="42" customHeight="1">
      <c r="A108" s="6">
        <v>1</v>
      </c>
      <c r="B108" s="861" t="s">
        <v>867</v>
      </c>
      <c r="C108" s="27"/>
      <c r="D108" s="229">
        <v>3.4265548</v>
      </c>
      <c r="E108" s="229">
        <f aca="true" t="shared" si="58" ref="E108:E115">H108+K108+N108+Q108</f>
        <v>3.8261146</v>
      </c>
      <c r="F108" s="229">
        <f aca="true" t="shared" si="59" ref="F108:F115">I108+L108+O108</f>
        <v>0</v>
      </c>
      <c r="G108" s="857">
        <v>0</v>
      </c>
      <c r="H108" s="229"/>
      <c r="I108" s="229"/>
      <c r="J108" s="857">
        <f>D108/2</f>
        <v>1.7132774</v>
      </c>
      <c r="K108" s="229"/>
      <c r="L108" s="229"/>
      <c r="M108" s="857">
        <f>D108/2</f>
        <v>1.7132774</v>
      </c>
      <c r="N108" s="229"/>
      <c r="O108" s="229"/>
      <c r="P108" s="522">
        <v>0</v>
      </c>
      <c r="Q108" s="883">
        <f>3.24247*1.18</f>
        <v>3.8261146</v>
      </c>
      <c r="R108" s="869">
        <f aca="true" t="shared" si="60" ref="R108:R115">E108+F108</f>
        <v>3.8261146</v>
      </c>
      <c r="S108" s="229">
        <f>Q108</f>
        <v>3.8261146</v>
      </c>
      <c r="T108" s="229"/>
      <c r="U108" s="229"/>
      <c r="V108" s="299">
        <f aca="true" t="shared" si="61" ref="V108:V117">D108-E108-F108</f>
        <v>-0.3995598</v>
      </c>
      <c r="W108" s="229">
        <f aca="true" t="shared" si="62" ref="W108:W117">V108</f>
        <v>-0.3995598</v>
      </c>
      <c r="X108" s="851">
        <f>W108/D108</f>
        <v>-0.1166068612123174</v>
      </c>
      <c r="Y108" s="229"/>
      <c r="Z108" s="229">
        <f aca="true" t="shared" si="63" ref="Z108:Z117">W108</f>
        <v>-0.3995598</v>
      </c>
      <c r="AA108" s="7"/>
    </row>
    <row r="109" spans="1:27" ht="63">
      <c r="A109" s="6">
        <v>2</v>
      </c>
      <c r="B109" s="861" t="s">
        <v>868</v>
      </c>
      <c r="C109" s="27"/>
      <c r="D109" s="229">
        <v>4.988981</v>
      </c>
      <c r="E109" s="229">
        <f t="shared" si="58"/>
        <v>2.0746524</v>
      </c>
      <c r="F109" s="229">
        <f t="shared" si="59"/>
        <v>0</v>
      </c>
      <c r="G109" s="857">
        <v>0</v>
      </c>
      <c r="H109" s="229">
        <v>2.0746524</v>
      </c>
      <c r="I109" s="229"/>
      <c r="J109" s="857">
        <f>D109</f>
        <v>4.988981</v>
      </c>
      <c r="K109" s="229"/>
      <c r="L109" s="229"/>
      <c r="M109" s="857">
        <v>0</v>
      </c>
      <c r="N109" s="229"/>
      <c r="O109" s="229"/>
      <c r="P109" s="522">
        <v>0</v>
      </c>
      <c r="Q109" s="229"/>
      <c r="R109" s="869">
        <f t="shared" si="60"/>
        <v>2.0746524</v>
      </c>
      <c r="S109" s="229">
        <f aca="true" t="shared" si="64" ref="S109:S115">Q109</f>
        <v>0</v>
      </c>
      <c r="T109" s="229"/>
      <c r="U109" s="229"/>
      <c r="V109" s="299">
        <f t="shared" si="61"/>
        <v>2.9143285999999997</v>
      </c>
      <c r="W109" s="229">
        <f t="shared" si="62"/>
        <v>2.9143285999999997</v>
      </c>
      <c r="X109" s="851">
        <f>W109/D109</f>
        <v>0.5841530765501011</v>
      </c>
      <c r="Y109" s="229"/>
      <c r="Z109" s="229">
        <f t="shared" si="63"/>
        <v>2.9143285999999997</v>
      </c>
      <c r="AA109" s="868" t="s">
        <v>1035</v>
      </c>
    </row>
    <row r="110" spans="1:27" ht="63">
      <c r="A110" s="6">
        <v>3</v>
      </c>
      <c r="B110" s="861" t="s">
        <v>869</v>
      </c>
      <c r="C110" s="27"/>
      <c r="D110" s="229">
        <v>2.2844092</v>
      </c>
      <c r="E110" s="229">
        <f t="shared" si="58"/>
        <v>0</v>
      </c>
      <c r="F110" s="229">
        <f t="shared" si="59"/>
        <v>0</v>
      </c>
      <c r="G110" s="857">
        <v>0</v>
      </c>
      <c r="H110" s="229"/>
      <c r="I110" s="229"/>
      <c r="J110" s="857">
        <f>D110</f>
        <v>2.2844092</v>
      </c>
      <c r="K110" s="229"/>
      <c r="L110" s="229"/>
      <c r="M110" s="857">
        <v>0</v>
      </c>
      <c r="N110" s="229"/>
      <c r="O110" s="229"/>
      <c r="P110" s="522">
        <v>0</v>
      </c>
      <c r="Q110" s="229"/>
      <c r="R110" s="869">
        <f t="shared" si="60"/>
        <v>0</v>
      </c>
      <c r="S110" s="229">
        <f t="shared" si="64"/>
        <v>0</v>
      </c>
      <c r="T110" s="229"/>
      <c r="U110" s="229"/>
      <c r="V110" s="299">
        <f t="shared" si="61"/>
        <v>2.2844092</v>
      </c>
      <c r="W110" s="229">
        <f t="shared" si="62"/>
        <v>2.2844092</v>
      </c>
      <c r="X110" s="851">
        <f>W110/D110</f>
        <v>1</v>
      </c>
      <c r="Y110" s="229"/>
      <c r="Z110" s="229">
        <f t="shared" si="63"/>
        <v>2.2844092</v>
      </c>
      <c r="AA110" s="868" t="s">
        <v>1035</v>
      </c>
    </row>
    <row r="111" spans="1:27" ht="31.5">
      <c r="A111" s="6">
        <v>4</v>
      </c>
      <c r="B111" s="861" t="s">
        <v>820</v>
      </c>
      <c r="C111" s="27"/>
      <c r="D111" s="229">
        <v>3.5778544</v>
      </c>
      <c r="E111" s="229">
        <f t="shared" si="58"/>
        <v>0.5771615999999999</v>
      </c>
      <c r="F111" s="229">
        <f t="shared" si="59"/>
        <v>0</v>
      </c>
      <c r="G111" s="857">
        <v>0</v>
      </c>
      <c r="H111" s="229">
        <v>0.5752972</v>
      </c>
      <c r="I111" s="229"/>
      <c r="J111" s="857">
        <v>0</v>
      </c>
      <c r="K111" s="229">
        <f>1.58*1.18/1000</f>
        <v>0.0018644</v>
      </c>
      <c r="L111" s="229"/>
      <c r="M111" s="857">
        <f>D111</f>
        <v>3.5778544</v>
      </c>
      <c r="N111" s="229"/>
      <c r="O111" s="229"/>
      <c r="P111" s="522">
        <v>0</v>
      </c>
      <c r="Q111" s="229"/>
      <c r="R111" s="869">
        <f t="shared" si="60"/>
        <v>0.5771615999999999</v>
      </c>
      <c r="S111" s="229">
        <f t="shared" si="64"/>
        <v>0</v>
      </c>
      <c r="T111" s="229"/>
      <c r="U111" s="229"/>
      <c r="V111" s="299">
        <f t="shared" si="61"/>
        <v>3.0006928000000004</v>
      </c>
      <c r="W111" s="229">
        <f t="shared" si="62"/>
        <v>3.0006928000000004</v>
      </c>
      <c r="X111" s="851">
        <f>W111/D111</f>
        <v>0.8386849951188624</v>
      </c>
      <c r="Y111" s="229"/>
      <c r="Z111" s="229">
        <f t="shared" si="63"/>
        <v>3.0006928000000004</v>
      </c>
      <c r="AA111" s="868" t="s">
        <v>1037</v>
      </c>
    </row>
    <row r="112" spans="1:27" ht="47.25">
      <c r="A112" s="6">
        <v>5</v>
      </c>
      <c r="B112" s="861" t="s">
        <v>870</v>
      </c>
      <c r="C112" s="27"/>
      <c r="D112" s="229">
        <v>4.4913868</v>
      </c>
      <c r="E112" s="229">
        <f t="shared" si="58"/>
        <v>4.9501707999999995</v>
      </c>
      <c r="F112" s="229">
        <f t="shared" si="59"/>
        <v>0</v>
      </c>
      <c r="G112" s="857">
        <v>0</v>
      </c>
      <c r="H112" s="229">
        <v>0.9035496</v>
      </c>
      <c r="I112" s="229"/>
      <c r="J112" s="857">
        <f>D112</f>
        <v>4.4913868</v>
      </c>
      <c r="K112" s="229"/>
      <c r="L112" s="229"/>
      <c r="M112" s="857">
        <v>0</v>
      </c>
      <c r="N112" s="229">
        <f>3.42934*1.18</f>
        <v>4.0466212</v>
      </c>
      <c r="O112" s="229"/>
      <c r="P112" s="522">
        <v>0</v>
      </c>
      <c r="Q112" s="883">
        <v>0</v>
      </c>
      <c r="R112" s="869">
        <f t="shared" si="60"/>
        <v>4.9501707999999995</v>
      </c>
      <c r="S112" s="229">
        <f t="shared" si="64"/>
        <v>0</v>
      </c>
      <c r="T112" s="229"/>
      <c r="U112" s="229"/>
      <c r="V112" s="299">
        <f t="shared" si="61"/>
        <v>-0.45878399999999964</v>
      </c>
      <c r="W112" s="229">
        <f t="shared" si="62"/>
        <v>-0.45878399999999964</v>
      </c>
      <c r="X112" s="851">
        <f>W112/D112</f>
        <v>-0.10214751488337626</v>
      </c>
      <c r="Y112" s="229"/>
      <c r="Z112" s="229">
        <f t="shared" si="63"/>
        <v>-0.45878399999999964</v>
      </c>
      <c r="AA112" s="868" t="s">
        <v>983</v>
      </c>
    </row>
    <row r="113" spans="1:27" ht="51.75" customHeight="1">
      <c r="A113" s="19">
        <v>6</v>
      </c>
      <c r="B113" s="861" t="s">
        <v>871</v>
      </c>
      <c r="C113" s="27"/>
      <c r="D113" s="229">
        <v>9.1299078</v>
      </c>
      <c r="E113" s="229">
        <f t="shared" si="58"/>
        <v>0</v>
      </c>
      <c r="F113" s="229">
        <f t="shared" si="59"/>
        <v>0</v>
      </c>
      <c r="G113" s="857">
        <v>0</v>
      </c>
      <c r="H113" s="229"/>
      <c r="I113" s="229"/>
      <c r="J113" s="857">
        <f>D113</f>
        <v>9.1299078</v>
      </c>
      <c r="K113" s="229"/>
      <c r="L113" s="229"/>
      <c r="M113" s="857">
        <v>0</v>
      </c>
      <c r="N113" s="229"/>
      <c r="O113" s="229"/>
      <c r="P113" s="522">
        <v>0</v>
      </c>
      <c r="Q113" s="229"/>
      <c r="R113" s="869">
        <f t="shared" si="60"/>
        <v>0</v>
      </c>
      <c r="S113" s="229">
        <f t="shared" si="64"/>
        <v>0</v>
      </c>
      <c r="T113" s="229"/>
      <c r="U113" s="229"/>
      <c r="V113" s="299">
        <f t="shared" si="61"/>
        <v>9.1299078</v>
      </c>
      <c r="W113" s="229">
        <f t="shared" si="62"/>
        <v>9.1299078</v>
      </c>
      <c r="X113" s="851"/>
      <c r="Y113" s="229"/>
      <c r="Z113" s="229">
        <f t="shared" si="63"/>
        <v>9.1299078</v>
      </c>
      <c r="AA113" s="868" t="s">
        <v>1037</v>
      </c>
    </row>
    <row r="114" spans="1:27" ht="42" customHeight="1">
      <c r="A114" s="19">
        <v>7</v>
      </c>
      <c r="B114" s="861" t="s">
        <v>976</v>
      </c>
      <c r="C114" s="27"/>
      <c r="D114" s="229">
        <v>0</v>
      </c>
      <c r="E114" s="229">
        <f t="shared" si="58"/>
        <v>5.9169448000000004</v>
      </c>
      <c r="F114" s="229">
        <f t="shared" si="59"/>
        <v>0</v>
      </c>
      <c r="G114" s="857">
        <f>D114/4</f>
        <v>0</v>
      </c>
      <c r="H114" s="229">
        <v>5.8676798</v>
      </c>
      <c r="I114" s="229"/>
      <c r="J114" s="857">
        <f>D114/4</f>
        <v>0</v>
      </c>
      <c r="K114" s="229"/>
      <c r="L114" s="229"/>
      <c r="M114" s="857">
        <f>D114/4</f>
        <v>0</v>
      </c>
      <c r="N114" s="229">
        <v>0.005864599999999999</v>
      </c>
      <c r="O114" s="229"/>
      <c r="P114" s="522">
        <f>D114/4</f>
        <v>0</v>
      </c>
      <c r="Q114" s="883">
        <f>36.78*1.18/1000</f>
        <v>0.0434004</v>
      </c>
      <c r="R114" s="869">
        <f t="shared" si="60"/>
        <v>5.9169448000000004</v>
      </c>
      <c r="S114" s="229">
        <f t="shared" si="64"/>
        <v>0.0434004</v>
      </c>
      <c r="T114" s="229"/>
      <c r="U114" s="229"/>
      <c r="V114" s="299">
        <f t="shared" si="61"/>
        <v>-5.9169448000000004</v>
      </c>
      <c r="W114" s="229">
        <f t="shared" si="62"/>
        <v>-5.9169448000000004</v>
      </c>
      <c r="X114" s="851"/>
      <c r="Y114" s="229"/>
      <c r="Z114" s="229">
        <f t="shared" si="63"/>
        <v>-5.9169448000000004</v>
      </c>
      <c r="AA114" s="868" t="s">
        <v>983</v>
      </c>
    </row>
    <row r="115" spans="1:27" ht="81.75" customHeight="1">
      <c r="A115" s="19">
        <v>8</v>
      </c>
      <c r="B115" s="861" t="s">
        <v>977</v>
      </c>
      <c r="C115" s="27"/>
      <c r="D115" s="229">
        <v>0</v>
      </c>
      <c r="E115" s="229">
        <f t="shared" si="58"/>
        <v>0.029742631599999996</v>
      </c>
      <c r="F115" s="229">
        <f t="shared" si="59"/>
        <v>0</v>
      </c>
      <c r="G115" s="857">
        <f>D115/4</f>
        <v>0</v>
      </c>
      <c r="H115" s="229">
        <v>0.018745031599999996</v>
      </c>
      <c r="I115" s="229"/>
      <c r="J115" s="857">
        <f>D115/4</f>
        <v>0</v>
      </c>
      <c r="K115" s="229"/>
      <c r="L115" s="229"/>
      <c r="M115" s="857">
        <f>D115/4</f>
        <v>0</v>
      </c>
      <c r="N115" s="229">
        <v>0.0109976</v>
      </c>
      <c r="O115" s="229"/>
      <c r="P115" s="522">
        <f>D115/4</f>
        <v>0</v>
      </c>
      <c r="Q115" s="229"/>
      <c r="R115" s="869">
        <f t="shared" si="60"/>
        <v>0.029742631599999996</v>
      </c>
      <c r="S115" s="229">
        <f t="shared" si="64"/>
        <v>0</v>
      </c>
      <c r="T115" s="229">
        <f>E115+F115</f>
        <v>0.029742631599999996</v>
      </c>
      <c r="U115" s="229">
        <f>T115</f>
        <v>0.029742631599999996</v>
      </c>
      <c r="V115" s="299">
        <f t="shared" si="61"/>
        <v>-0.029742631599999996</v>
      </c>
      <c r="W115" s="229">
        <f t="shared" si="62"/>
        <v>-0.029742631599999996</v>
      </c>
      <c r="X115" s="851"/>
      <c r="Y115" s="229"/>
      <c r="Z115" s="229">
        <f t="shared" si="63"/>
        <v>-0.029742631599999996</v>
      </c>
      <c r="AA115" s="868" t="s">
        <v>983</v>
      </c>
    </row>
    <row r="116" spans="1:27" ht="99.75" customHeight="1">
      <c r="A116" s="19">
        <v>9</v>
      </c>
      <c r="B116" s="861" t="s">
        <v>1008</v>
      </c>
      <c r="C116" s="27"/>
      <c r="D116" s="229">
        <v>0</v>
      </c>
      <c r="E116" s="229">
        <f>H116+K116+N116+Q116</f>
        <v>2.5599391999999996</v>
      </c>
      <c r="F116" s="229">
        <f>I116+L116+O116</f>
        <v>0</v>
      </c>
      <c r="G116" s="857">
        <f>D116/4</f>
        <v>0</v>
      </c>
      <c r="H116" s="229"/>
      <c r="I116" s="229"/>
      <c r="J116" s="857">
        <f>D116/4</f>
        <v>0</v>
      </c>
      <c r="K116" s="229"/>
      <c r="L116" s="229"/>
      <c r="M116" s="857">
        <f>D116/4</f>
        <v>0</v>
      </c>
      <c r="N116" s="229"/>
      <c r="O116" s="229"/>
      <c r="P116" s="522">
        <f>D116/4</f>
        <v>0</v>
      </c>
      <c r="Q116" s="883">
        <f>2.16944*1.18</f>
        <v>2.5599391999999996</v>
      </c>
      <c r="R116" s="869">
        <f>E116+F116</f>
        <v>2.5599391999999996</v>
      </c>
      <c r="S116" s="229">
        <f>Q116</f>
        <v>2.5599391999999996</v>
      </c>
      <c r="T116" s="229"/>
      <c r="U116" s="229"/>
      <c r="V116" s="299">
        <f t="shared" si="61"/>
        <v>-2.5599391999999996</v>
      </c>
      <c r="W116" s="229">
        <f t="shared" si="62"/>
        <v>-2.5599391999999996</v>
      </c>
      <c r="X116" s="851"/>
      <c r="Y116" s="229"/>
      <c r="Z116" s="229">
        <f t="shared" si="63"/>
        <v>-2.5599391999999996</v>
      </c>
      <c r="AA116" s="868" t="s">
        <v>1009</v>
      </c>
    </row>
    <row r="117" spans="1:27" ht="99.75" customHeight="1">
      <c r="A117" s="19">
        <v>10</v>
      </c>
      <c r="B117" s="861" t="s">
        <v>1010</v>
      </c>
      <c r="C117" s="27"/>
      <c r="D117" s="229">
        <v>0</v>
      </c>
      <c r="E117" s="229">
        <f>H117+K117+N117+Q117</f>
        <v>0.9063107999999999</v>
      </c>
      <c r="F117" s="229">
        <f>I117+L117+O117</f>
        <v>0</v>
      </c>
      <c r="G117" s="857">
        <f>D117/4</f>
        <v>0</v>
      </c>
      <c r="H117" s="229"/>
      <c r="I117" s="229"/>
      <c r="J117" s="857">
        <f>D117/4</f>
        <v>0</v>
      </c>
      <c r="K117" s="229"/>
      <c r="L117" s="229"/>
      <c r="M117" s="857">
        <f>D117/4</f>
        <v>0</v>
      </c>
      <c r="N117" s="229"/>
      <c r="O117" s="229"/>
      <c r="P117" s="522">
        <f>D117/4</f>
        <v>0</v>
      </c>
      <c r="Q117" s="883">
        <f>0.76806*1.18</f>
        <v>0.9063107999999999</v>
      </c>
      <c r="R117" s="869">
        <f>E117+F117</f>
        <v>0.9063107999999999</v>
      </c>
      <c r="S117" s="229">
        <f>Q117</f>
        <v>0.9063107999999999</v>
      </c>
      <c r="T117" s="229"/>
      <c r="U117" s="229"/>
      <c r="V117" s="299">
        <f t="shared" si="61"/>
        <v>-0.9063107999999999</v>
      </c>
      <c r="W117" s="229">
        <f t="shared" si="62"/>
        <v>-0.9063107999999999</v>
      </c>
      <c r="X117" s="851"/>
      <c r="Y117" s="229"/>
      <c r="Z117" s="229">
        <f t="shared" si="63"/>
        <v>-0.9063107999999999</v>
      </c>
      <c r="AA117" s="868" t="s">
        <v>1009</v>
      </c>
    </row>
    <row r="118" spans="1:27" ht="15.75">
      <c r="A118" s="278" t="s">
        <v>681</v>
      </c>
      <c r="B118" s="826" t="s">
        <v>835</v>
      </c>
      <c r="C118" s="275"/>
      <c r="D118" s="290">
        <f>D119+D127</f>
        <v>29.766715399999995</v>
      </c>
      <c r="E118" s="290">
        <f aca="true" t="shared" si="65" ref="E118:W118">E119+E127</f>
        <v>20.1278146</v>
      </c>
      <c r="F118" s="290">
        <f>F119+F127</f>
        <v>0</v>
      </c>
      <c r="G118" s="290">
        <f t="shared" si="65"/>
        <v>0</v>
      </c>
      <c r="H118" s="290">
        <f t="shared" si="65"/>
        <v>0.2843092</v>
      </c>
      <c r="I118" s="290">
        <f>I119+I127</f>
        <v>0</v>
      </c>
      <c r="J118" s="290">
        <f t="shared" si="65"/>
        <v>3.54</v>
      </c>
      <c r="K118" s="290">
        <f t="shared" si="65"/>
        <v>0.0192812</v>
      </c>
      <c r="L118" s="290">
        <f>L119+L127</f>
        <v>0</v>
      </c>
      <c r="M118" s="290">
        <f t="shared" si="65"/>
        <v>18.8096</v>
      </c>
      <c r="N118" s="290">
        <f>N119+N127</f>
        <v>5.4644384</v>
      </c>
      <c r="O118" s="290">
        <f>O119+O127</f>
        <v>0</v>
      </c>
      <c r="P118" s="290">
        <f t="shared" si="65"/>
        <v>7.417</v>
      </c>
      <c r="Q118" s="290">
        <f t="shared" si="65"/>
        <v>14.359785799999997</v>
      </c>
      <c r="R118" s="878">
        <f t="shared" si="65"/>
        <v>20.1278146</v>
      </c>
      <c r="S118" s="290">
        <f t="shared" si="65"/>
        <v>14.359785799999997</v>
      </c>
      <c r="T118" s="290">
        <f t="shared" si="65"/>
        <v>0.0145612</v>
      </c>
      <c r="U118" s="290">
        <f t="shared" si="65"/>
        <v>0.0145612</v>
      </c>
      <c r="V118" s="290">
        <f t="shared" si="65"/>
        <v>9.638900800000004</v>
      </c>
      <c r="W118" s="290">
        <f t="shared" si="65"/>
        <v>9.638900800000004</v>
      </c>
      <c r="X118" s="290"/>
      <c r="Y118" s="290">
        <f>Y119+Y127</f>
        <v>0</v>
      </c>
      <c r="Z118" s="290">
        <f>Z119+Z127</f>
        <v>9.638900800000004</v>
      </c>
      <c r="AA118" s="277"/>
    </row>
    <row r="119" spans="1:27" s="657" customFormat="1" ht="15.75">
      <c r="A119" s="842" t="s">
        <v>872</v>
      </c>
      <c r="B119" s="843" t="s">
        <v>561</v>
      </c>
      <c r="C119" s="844"/>
      <c r="D119" s="845">
        <f aca="true" t="shared" si="66" ref="D119:P119">SUM(D120:D126)</f>
        <v>29.507115399999996</v>
      </c>
      <c r="E119" s="845">
        <f t="shared" si="66"/>
        <v>20.1278146</v>
      </c>
      <c r="F119" s="845">
        <f t="shared" si="66"/>
        <v>0</v>
      </c>
      <c r="G119" s="860">
        <f t="shared" si="66"/>
        <v>0</v>
      </c>
      <c r="H119" s="845">
        <f t="shared" si="66"/>
        <v>0.2843092</v>
      </c>
      <c r="I119" s="845">
        <f t="shared" si="66"/>
        <v>0</v>
      </c>
      <c r="J119" s="860">
        <f t="shared" si="66"/>
        <v>3.54</v>
      </c>
      <c r="K119" s="845">
        <f t="shared" si="66"/>
        <v>0.0192812</v>
      </c>
      <c r="L119" s="845">
        <f t="shared" si="66"/>
        <v>0</v>
      </c>
      <c r="M119" s="860">
        <f t="shared" si="66"/>
        <v>18.55</v>
      </c>
      <c r="N119" s="845">
        <f t="shared" si="66"/>
        <v>5.4644384</v>
      </c>
      <c r="O119" s="845">
        <f t="shared" si="66"/>
        <v>0</v>
      </c>
      <c r="P119" s="860">
        <f t="shared" si="66"/>
        <v>7.417</v>
      </c>
      <c r="Q119" s="845">
        <f aca="true" t="shared" si="67" ref="Q119:Z119">SUM(Q120:Q126)</f>
        <v>14.359785799999997</v>
      </c>
      <c r="R119" s="845">
        <f t="shared" si="67"/>
        <v>20.1278146</v>
      </c>
      <c r="S119" s="845">
        <f t="shared" si="67"/>
        <v>14.359785799999997</v>
      </c>
      <c r="T119" s="845">
        <f t="shared" si="67"/>
        <v>0.0145612</v>
      </c>
      <c r="U119" s="845">
        <f t="shared" si="67"/>
        <v>0.0145612</v>
      </c>
      <c r="V119" s="845">
        <f t="shared" si="67"/>
        <v>9.379300800000003</v>
      </c>
      <c r="W119" s="845">
        <f t="shared" si="67"/>
        <v>9.379300800000003</v>
      </c>
      <c r="X119" s="845">
        <f t="shared" si="67"/>
        <v>0.611522446617141</v>
      </c>
      <c r="Y119" s="845">
        <f t="shared" si="67"/>
        <v>0</v>
      </c>
      <c r="Z119" s="845">
        <f t="shared" si="67"/>
        <v>9.379300800000003</v>
      </c>
      <c r="AA119" s="846"/>
    </row>
    <row r="120" spans="1:27" ht="32.25" customHeight="1">
      <c r="A120" s="19">
        <v>1</v>
      </c>
      <c r="B120" s="861" t="s">
        <v>873</v>
      </c>
      <c r="C120" s="27"/>
      <c r="D120" s="229">
        <v>7.2568702</v>
      </c>
      <c r="E120" s="229">
        <f aca="true" t="shared" si="68" ref="E120:E126">H120+K120+N120+Q120</f>
        <v>5.4691583999999995</v>
      </c>
      <c r="F120" s="229">
        <f aca="true" t="shared" si="69" ref="F120:F126">I120+L120+O120</f>
        <v>0</v>
      </c>
      <c r="G120" s="857">
        <v>0</v>
      </c>
      <c r="H120" s="229"/>
      <c r="I120" s="229"/>
      <c r="J120" s="857">
        <v>3.54</v>
      </c>
      <c r="K120" s="229">
        <f>4*1.18/1000</f>
        <v>0.004719999999999999</v>
      </c>
      <c r="L120" s="229"/>
      <c r="M120" s="857">
        <v>3.717</v>
      </c>
      <c r="N120" s="229">
        <f>4.63088*1.18</f>
        <v>5.4644384</v>
      </c>
      <c r="O120" s="229"/>
      <c r="P120" s="522"/>
      <c r="Q120" s="229"/>
      <c r="R120" s="869">
        <f aca="true" t="shared" si="70" ref="R120:R126">E120+F120</f>
        <v>5.4691583999999995</v>
      </c>
      <c r="S120" s="229">
        <f aca="true" t="shared" si="71" ref="S120:S126">Q120</f>
        <v>0</v>
      </c>
      <c r="T120" s="229"/>
      <c r="U120" s="229"/>
      <c r="V120" s="299">
        <f aca="true" t="shared" si="72" ref="V120:V126">D120-E120-F120</f>
        <v>1.7877118000000003</v>
      </c>
      <c r="W120" s="229">
        <f aca="true" t="shared" si="73" ref="W120:W126">V120</f>
        <v>1.7877118000000003</v>
      </c>
      <c r="X120" s="851">
        <f>W120/D120</f>
        <v>0.24634749564626363</v>
      </c>
      <c r="Y120" s="229"/>
      <c r="Z120" s="229">
        <f aca="true" t="shared" si="74" ref="Z120:Z126">W120</f>
        <v>1.7877118000000003</v>
      </c>
      <c r="AA120" s="7"/>
    </row>
    <row r="121" spans="1:27" ht="32.25" customHeight="1">
      <c r="A121" s="19">
        <v>2</v>
      </c>
      <c r="B121" s="861" t="s">
        <v>874</v>
      </c>
      <c r="C121" s="27"/>
      <c r="D121" s="229">
        <v>22.2502452</v>
      </c>
      <c r="E121" s="229">
        <f t="shared" si="68"/>
        <v>14.125013</v>
      </c>
      <c r="F121" s="229">
        <f t="shared" si="69"/>
        <v>0</v>
      </c>
      <c r="G121" s="857">
        <v>0</v>
      </c>
      <c r="H121" s="229"/>
      <c r="I121" s="229"/>
      <c r="J121" s="857">
        <v>0</v>
      </c>
      <c r="K121" s="229"/>
      <c r="L121" s="229"/>
      <c r="M121" s="857">
        <v>14.833</v>
      </c>
      <c r="N121" s="229"/>
      <c r="O121" s="229"/>
      <c r="P121" s="522">
        <v>7.417</v>
      </c>
      <c r="Q121" s="883">
        <f>11.97035*1.18</f>
        <v>14.125013</v>
      </c>
      <c r="R121" s="869">
        <f t="shared" si="70"/>
        <v>14.125013</v>
      </c>
      <c r="S121" s="229">
        <f t="shared" si="71"/>
        <v>14.125013</v>
      </c>
      <c r="T121" s="229"/>
      <c r="U121" s="229"/>
      <c r="V121" s="299">
        <f t="shared" si="72"/>
        <v>8.1252322</v>
      </c>
      <c r="W121" s="229">
        <f t="shared" si="73"/>
        <v>8.1252322</v>
      </c>
      <c r="X121" s="851">
        <f>W121/D121</f>
        <v>0.3651749509708774</v>
      </c>
      <c r="Y121" s="229"/>
      <c r="Z121" s="229">
        <f t="shared" si="74"/>
        <v>8.1252322</v>
      </c>
      <c r="AA121" s="868" t="s">
        <v>1036</v>
      </c>
    </row>
    <row r="122" spans="1:27" ht="32.25" customHeight="1">
      <c r="A122" s="19">
        <v>3</v>
      </c>
      <c r="B122" s="861" t="s">
        <v>973</v>
      </c>
      <c r="C122" s="27"/>
      <c r="D122" s="229">
        <v>0</v>
      </c>
      <c r="E122" s="229">
        <f t="shared" si="68"/>
        <v>0.18944899999999998</v>
      </c>
      <c r="F122" s="229">
        <f t="shared" si="69"/>
        <v>0</v>
      </c>
      <c r="G122" s="857">
        <f>D122/4</f>
        <v>0</v>
      </c>
      <c r="H122" s="229">
        <v>0.18944899999999998</v>
      </c>
      <c r="I122" s="229"/>
      <c r="J122" s="857">
        <f>D122/4</f>
        <v>0</v>
      </c>
      <c r="K122" s="229"/>
      <c r="L122" s="229"/>
      <c r="M122" s="857">
        <f>D122/4</f>
        <v>0</v>
      </c>
      <c r="N122" s="229"/>
      <c r="O122" s="229"/>
      <c r="P122" s="522">
        <f>D122/4</f>
        <v>0</v>
      </c>
      <c r="Q122" s="229"/>
      <c r="R122" s="869">
        <f t="shared" si="70"/>
        <v>0.18944899999999998</v>
      </c>
      <c r="S122" s="229">
        <f t="shared" si="71"/>
        <v>0</v>
      </c>
      <c r="T122" s="229"/>
      <c r="U122" s="229"/>
      <c r="V122" s="299">
        <f t="shared" si="72"/>
        <v>-0.18944899999999998</v>
      </c>
      <c r="W122" s="229">
        <f t="shared" si="73"/>
        <v>-0.18944899999999998</v>
      </c>
      <c r="X122" s="851"/>
      <c r="Y122" s="229"/>
      <c r="Z122" s="229">
        <f t="shared" si="74"/>
        <v>-0.18944899999999998</v>
      </c>
      <c r="AA122" s="868" t="s">
        <v>983</v>
      </c>
    </row>
    <row r="123" spans="1:27" ht="32.25" customHeight="1">
      <c r="A123" s="19">
        <v>4</v>
      </c>
      <c r="B123" s="861" t="s">
        <v>974</v>
      </c>
      <c r="C123" s="27"/>
      <c r="D123" s="229">
        <v>0</v>
      </c>
      <c r="E123" s="229">
        <f t="shared" si="68"/>
        <v>0.0948602</v>
      </c>
      <c r="F123" s="229">
        <f t="shared" si="69"/>
        <v>0</v>
      </c>
      <c r="G123" s="857">
        <f>D123/4</f>
        <v>0</v>
      </c>
      <c r="H123" s="229">
        <v>0.0948602</v>
      </c>
      <c r="I123" s="229"/>
      <c r="J123" s="857">
        <f>D123/4</f>
        <v>0</v>
      </c>
      <c r="K123" s="229"/>
      <c r="L123" s="229"/>
      <c r="M123" s="857">
        <f>D123/4</f>
        <v>0</v>
      </c>
      <c r="N123" s="229"/>
      <c r="O123" s="229"/>
      <c r="P123" s="522">
        <f>D123/4</f>
        <v>0</v>
      </c>
      <c r="Q123" s="229"/>
      <c r="R123" s="869">
        <f t="shared" si="70"/>
        <v>0.0948602</v>
      </c>
      <c r="S123" s="229">
        <f t="shared" si="71"/>
        <v>0</v>
      </c>
      <c r="T123" s="229"/>
      <c r="U123" s="229"/>
      <c r="V123" s="299">
        <f t="shared" si="72"/>
        <v>-0.0948602</v>
      </c>
      <c r="W123" s="229">
        <f t="shared" si="73"/>
        <v>-0.0948602</v>
      </c>
      <c r="X123" s="851"/>
      <c r="Y123" s="229"/>
      <c r="Z123" s="229">
        <f t="shared" si="74"/>
        <v>-0.0948602</v>
      </c>
      <c r="AA123" s="868" t="s">
        <v>983</v>
      </c>
    </row>
    <row r="124" spans="1:27" ht="32.25" customHeight="1">
      <c r="A124" s="19">
        <v>5</v>
      </c>
      <c r="B124" s="861" t="s">
        <v>990</v>
      </c>
      <c r="C124" s="27"/>
      <c r="D124" s="229">
        <v>0</v>
      </c>
      <c r="E124" s="229">
        <f t="shared" si="68"/>
        <v>0.0145612</v>
      </c>
      <c r="F124" s="229">
        <f t="shared" si="69"/>
        <v>0</v>
      </c>
      <c r="G124" s="857">
        <f>D124/4</f>
        <v>0</v>
      </c>
      <c r="H124" s="229"/>
      <c r="I124" s="229"/>
      <c r="J124" s="857">
        <f>D124/4</f>
        <v>0</v>
      </c>
      <c r="K124" s="229">
        <v>0.0145612</v>
      </c>
      <c r="L124" s="229"/>
      <c r="M124" s="857">
        <f>D124/4</f>
        <v>0</v>
      </c>
      <c r="N124" s="229"/>
      <c r="O124" s="229"/>
      <c r="P124" s="522">
        <f>D124/4</f>
        <v>0</v>
      </c>
      <c r="Q124" s="229"/>
      <c r="R124" s="869">
        <f t="shared" si="70"/>
        <v>0.0145612</v>
      </c>
      <c r="S124" s="229">
        <f t="shared" si="71"/>
        <v>0</v>
      </c>
      <c r="T124" s="229">
        <f>E124+F124</f>
        <v>0.0145612</v>
      </c>
      <c r="U124" s="229">
        <f>T124</f>
        <v>0.0145612</v>
      </c>
      <c r="V124" s="299">
        <f t="shared" si="72"/>
        <v>-0.0145612</v>
      </c>
      <c r="W124" s="229">
        <f t="shared" si="73"/>
        <v>-0.0145612</v>
      </c>
      <c r="X124" s="851"/>
      <c r="Y124" s="229"/>
      <c r="Z124" s="229">
        <f t="shared" si="74"/>
        <v>-0.0145612</v>
      </c>
      <c r="AA124" s="868" t="s">
        <v>983</v>
      </c>
    </row>
    <row r="125" spans="1:27" ht="86.25" customHeight="1">
      <c r="A125" s="19">
        <v>6</v>
      </c>
      <c r="B125" s="861" t="s">
        <v>1011</v>
      </c>
      <c r="C125" s="27"/>
      <c r="D125" s="229">
        <v>0</v>
      </c>
      <c r="E125" s="229">
        <f t="shared" si="68"/>
        <v>0.11738639999999999</v>
      </c>
      <c r="F125" s="229">
        <f t="shared" si="69"/>
        <v>0</v>
      </c>
      <c r="G125" s="857">
        <f>D125/4</f>
        <v>0</v>
      </c>
      <c r="H125" s="229"/>
      <c r="I125" s="229"/>
      <c r="J125" s="857">
        <f>D125/4</f>
        <v>0</v>
      </c>
      <c r="K125" s="229"/>
      <c r="L125" s="229"/>
      <c r="M125" s="857">
        <f>D125/4</f>
        <v>0</v>
      </c>
      <c r="N125" s="229"/>
      <c r="O125" s="229"/>
      <c r="P125" s="522">
        <f>D125/4</f>
        <v>0</v>
      </c>
      <c r="Q125" s="883">
        <f>99.48*1.18/1000</f>
        <v>0.11738639999999999</v>
      </c>
      <c r="R125" s="869">
        <f t="shared" si="70"/>
        <v>0.11738639999999999</v>
      </c>
      <c r="S125" s="229">
        <f t="shared" si="71"/>
        <v>0.11738639999999999</v>
      </c>
      <c r="T125" s="229"/>
      <c r="U125" s="229"/>
      <c r="V125" s="299">
        <f t="shared" si="72"/>
        <v>-0.11738639999999999</v>
      </c>
      <c r="W125" s="229">
        <f t="shared" si="73"/>
        <v>-0.11738639999999999</v>
      </c>
      <c r="X125" s="851"/>
      <c r="Y125" s="229"/>
      <c r="Z125" s="229">
        <f t="shared" si="74"/>
        <v>-0.11738639999999999</v>
      </c>
      <c r="AA125" s="868" t="s">
        <v>1009</v>
      </c>
    </row>
    <row r="126" spans="1:27" ht="86.25" customHeight="1">
      <c r="A126" s="19">
        <v>7</v>
      </c>
      <c r="B126" s="861" t="s">
        <v>1012</v>
      </c>
      <c r="C126" s="27"/>
      <c r="D126" s="229">
        <v>0</v>
      </c>
      <c r="E126" s="229">
        <f t="shared" si="68"/>
        <v>0.11738639999999999</v>
      </c>
      <c r="F126" s="229">
        <f t="shared" si="69"/>
        <v>0</v>
      </c>
      <c r="G126" s="857">
        <f>D126/4</f>
        <v>0</v>
      </c>
      <c r="H126" s="229"/>
      <c r="I126" s="229"/>
      <c r="J126" s="857">
        <f>D126/4</f>
        <v>0</v>
      </c>
      <c r="K126" s="229"/>
      <c r="L126" s="229"/>
      <c r="M126" s="857">
        <f>D126/4</f>
        <v>0</v>
      </c>
      <c r="N126" s="229"/>
      <c r="O126" s="229"/>
      <c r="P126" s="522">
        <f>D126/4</f>
        <v>0</v>
      </c>
      <c r="Q126" s="883">
        <f>99.48*1.18/1000</f>
        <v>0.11738639999999999</v>
      </c>
      <c r="R126" s="869">
        <f t="shared" si="70"/>
        <v>0.11738639999999999</v>
      </c>
      <c r="S126" s="229">
        <f t="shared" si="71"/>
        <v>0.11738639999999999</v>
      </c>
      <c r="T126" s="229"/>
      <c r="U126" s="229"/>
      <c r="V126" s="299">
        <f t="shared" si="72"/>
        <v>-0.11738639999999999</v>
      </c>
      <c r="W126" s="229">
        <f t="shared" si="73"/>
        <v>-0.11738639999999999</v>
      </c>
      <c r="X126" s="851"/>
      <c r="Y126" s="229"/>
      <c r="Z126" s="229">
        <f t="shared" si="74"/>
        <v>-0.11738639999999999</v>
      </c>
      <c r="AA126" s="868" t="s">
        <v>1009</v>
      </c>
    </row>
    <row r="127" spans="1:27" s="657" customFormat="1" ht="15.75">
      <c r="A127" s="842" t="s">
        <v>875</v>
      </c>
      <c r="B127" s="843" t="s">
        <v>562</v>
      </c>
      <c r="C127" s="844"/>
      <c r="D127" s="845">
        <f aca="true" t="shared" si="75" ref="D127:P127">SUM(D128)</f>
        <v>0.2596</v>
      </c>
      <c r="E127" s="845">
        <f t="shared" si="75"/>
        <v>0</v>
      </c>
      <c r="F127" s="845">
        <f t="shared" si="75"/>
        <v>0</v>
      </c>
      <c r="G127" s="860">
        <f t="shared" si="75"/>
        <v>0</v>
      </c>
      <c r="H127" s="845">
        <f t="shared" si="75"/>
        <v>0</v>
      </c>
      <c r="I127" s="845">
        <f t="shared" si="75"/>
        <v>0</v>
      </c>
      <c r="J127" s="860">
        <f t="shared" si="75"/>
        <v>0</v>
      </c>
      <c r="K127" s="845">
        <f t="shared" si="75"/>
        <v>0</v>
      </c>
      <c r="L127" s="845">
        <f t="shared" si="75"/>
        <v>0</v>
      </c>
      <c r="M127" s="860">
        <f t="shared" si="75"/>
        <v>0.2596</v>
      </c>
      <c r="N127" s="845">
        <f t="shared" si="75"/>
        <v>0</v>
      </c>
      <c r="O127" s="845">
        <f t="shared" si="75"/>
        <v>0</v>
      </c>
      <c r="P127" s="860">
        <f t="shared" si="75"/>
        <v>0</v>
      </c>
      <c r="Q127" s="845">
        <f aca="true" t="shared" si="76" ref="Q127:W127">SUM(Q128)</f>
        <v>0</v>
      </c>
      <c r="R127" s="879">
        <f t="shared" si="76"/>
        <v>0</v>
      </c>
      <c r="S127" s="845">
        <f t="shared" si="76"/>
        <v>0</v>
      </c>
      <c r="T127" s="845">
        <f t="shared" si="76"/>
        <v>0</v>
      </c>
      <c r="U127" s="845">
        <f t="shared" si="76"/>
        <v>0</v>
      </c>
      <c r="V127" s="845">
        <f t="shared" si="76"/>
        <v>0.2596</v>
      </c>
      <c r="W127" s="845">
        <f t="shared" si="76"/>
        <v>0.2596</v>
      </c>
      <c r="X127" s="654"/>
      <c r="Y127" s="845">
        <f>SUM(Y128)</f>
        <v>0</v>
      </c>
      <c r="Z127" s="845">
        <f>SUM(Z128)</f>
        <v>0.2596</v>
      </c>
      <c r="AA127" s="846"/>
    </row>
    <row r="128" spans="1:27" ht="39.75" customHeight="1">
      <c r="A128" s="19">
        <v>1</v>
      </c>
      <c r="B128" s="861" t="s">
        <v>876</v>
      </c>
      <c r="C128" s="5"/>
      <c r="D128" s="229">
        <v>0.2596</v>
      </c>
      <c r="E128" s="229">
        <f>H128+K128+N128+Q128</f>
        <v>0</v>
      </c>
      <c r="F128" s="229">
        <f>I128+L128+O128</f>
        <v>0</v>
      </c>
      <c r="G128" s="857">
        <v>0</v>
      </c>
      <c r="H128" s="229"/>
      <c r="I128" s="229"/>
      <c r="J128" s="857">
        <v>0</v>
      </c>
      <c r="K128" s="229"/>
      <c r="L128" s="229"/>
      <c r="M128" s="857">
        <f>D128</f>
        <v>0.2596</v>
      </c>
      <c r="N128" s="229"/>
      <c r="O128" s="229"/>
      <c r="P128" s="522">
        <v>0</v>
      </c>
      <c r="Q128" s="229"/>
      <c r="R128" s="869">
        <f>E128+F128</f>
        <v>0</v>
      </c>
      <c r="S128" s="229">
        <f>N128+O128</f>
        <v>0</v>
      </c>
      <c r="T128" s="229"/>
      <c r="U128" s="229"/>
      <c r="V128" s="299">
        <f>D128-E128-F128</f>
        <v>0.2596</v>
      </c>
      <c r="W128" s="229">
        <f>V128</f>
        <v>0.2596</v>
      </c>
      <c r="X128" s="851"/>
      <c r="Y128" s="229"/>
      <c r="Z128" s="229">
        <f>W128</f>
        <v>0.2596</v>
      </c>
      <c r="AA128" s="868" t="s">
        <v>1037</v>
      </c>
    </row>
    <row r="129" spans="1:27" ht="15.75">
      <c r="A129" s="278" t="s">
        <v>682</v>
      </c>
      <c r="B129" s="826" t="s">
        <v>796</v>
      </c>
      <c r="C129" s="275"/>
      <c r="D129" s="290">
        <f>D130+D135+D137</f>
        <v>2.80427</v>
      </c>
      <c r="E129" s="290">
        <f aca="true" t="shared" si="77" ref="E129:W129">E130+E135+E137</f>
        <v>8.0743624</v>
      </c>
      <c r="F129" s="290">
        <f t="shared" si="77"/>
        <v>0</v>
      </c>
      <c r="G129" s="290">
        <f t="shared" si="77"/>
        <v>0</v>
      </c>
      <c r="H129" s="290">
        <f t="shared" si="77"/>
        <v>0</v>
      </c>
      <c r="I129" s="290">
        <f t="shared" si="77"/>
        <v>0</v>
      </c>
      <c r="J129" s="290">
        <f t="shared" si="77"/>
        <v>2.03727</v>
      </c>
      <c r="K129" s="290">
        <f t="shared" si="77"/>
        <v>0</v>
      </c>
      <c r="L129" s="290">
        <f>L130+L135+L137</f>
        <v>0</v>
      </c>
      <c r="M129" s="290">
        <f t="shared" si="77"/>
        <v>0.7669999999999999</v>
      </c>
      <c r="N129" s="290">
        <f>N130+N135+N137</f>
        <v>0.3144228</v>
      </c>
      <c r="O129" s="290">
        <f>O130+O135+O137</f>
        <v>0</v>
      </c>
      <c r="P129" s="290">
        <f t="shared" si="77"/>
        <v>0</v>
      </c>
      <c r="Q129" s="290">
        <f t="shared" si="77"/>
        <v>7.759939599999999</v>
      </c>
      <c r="R129" s="878">
        <f t="shared" si="77"/>
        <v>8.0743624</v>
      </c>
      <c r="S129" s="290">
        <f t="shared" si="77"/>
        <v>7.759939599999999</v>
      </c>
      <c r="T129" s="290">
        <f t="shared" si="77"/>
        <v>0</v>
      </c>
      <c r="U129" s="290">
        <f t="shared" si="77"/>
        <v>0</v>
      </c>
      <c r="V129" s="290">
        <f t="shared" si="77"/>
        <v>-5.270092399999999</v>
      </c>
      <c r="W129" s="290">
        <f t="shared" si="77"/>
        <v>-5.270092399999999</v>
      </c>
      <c r="X129" s="290"/>
      <c r="Y129" s="290">
        <f>Y130+Y135+Y137</f>
        <v>0</v>
      </c>
      <c r="Z129" s="290">
        <f>Z130+Z135+Z137</f>
        <v>-5.270092399999999</v>
      </c>
      <c r="AA129" s="277"/>
    </row>
    <row r="130" spans="1:27" s="657" customFormat="1" ht="15.75">
      <c r="A130" s="842" t="s">
        <v>877</v>
      </c>
      <c r="B130" s="843" t="s">
        <v>561</v>
      </c>
      <c r="C130" s="844"/>
      <c r="D130" s="845">
        <f aca="true" t="shared" si="78" ref="D130:Q130">SUM(D131:D134)</f>
        <v>0.472</v>
      </c>
      <c r="E130" s="845">
        <f t="shared" si="78"/>
        <v>7.9329393999999995</v>
      </c>
      <c r="F130" s="845">
        <f t="shared" si="78"/>
        <v>0</v>
      </c>
      <c r="G130" s="860">
        <f t="shared" si="78"/>
        <v>0</v>
      </c>
      <c r="H130" s="845">
        <f t="shared" si="78"/>
        <v>0</v>
      </c>
      <c r="I130" s="845">
        <f t="shared" si="78"/>
        <v>0</v>
      </c>
      <c r="J130" s="860">
        <f t="shared" si="78"/>
        <v>0</v>
      </c>
      <c r="K130" s="845">
        <f t="shared" si="78"/>
        <v>0</v>
      </c>
      <c r="L130" s="845">
        <f t="shared" si="78"/>
        <v>0</v>
      </c>
      <c r="M130" s="860">
        <f t="shared" si="78"/>
        <v>0.472</v>
      </c>
      <c r="N130" s="845">
        <f t="shared" si="78"/>
        <v>0.1729998</v>
      </c>
      <c r="O130" s="845">
        <f t="shared" si="78"/>
        <v>0</v>
      </c>
      <c r="P130" s="860">
        <f t="shared" si="78"/>
        <v>0</v>
      </c>
      <c r="Q130" s="845">
        <f t="shared" si="78"/>
        <v>7.759939599999999</v>
      </c>
      <c r="R130" s="845">
        <f aca="true" t="shared" si="79" ref="R130:Z130">SUM(R131:R134)</f>
        <v>7.9329393999999995</v>
      </c>
      <c r="S130" s="845">
        <f t="shared" si="79"/>
        <v>7.759939599999999</v>
      </c>
      <c r="T130" s="845">
        <f t="shared" si="79"/>
        <v>0</v>
      </c>
      <c r="U130" s="845">
        <f t="shared" si="79"/>
        <v>0</v>
      </c>
      <c r="V130" s="845">
        <f t="shared" si="79"/>
        <v>-7.460939399999999</v>
      </c>
      <c r="W130" s="845">
        <f t="shared" si="79"/>
        <v>-7.460939399999999</v>
      </c>
      <c r="X130" s="845">
        <f t="shared" si="79"/>
        <v>1.2669499999999998</v>
      </c>
      <c r="Y130" s="845">
        <f t="shared" si="79"/>
        <v>0</v>
      </c>
      <c r="Z130" s="845">
        <f t="shared" si="79"/>
        <v>-7.460939399999999</v>
      </c>
      <c r="AA130" s="846"/>
    </row>
    <row r="131" spans="1:27" s="18" customFormat="1" ht="65.25" customHeight="1">
      <c r="A131" s="839">
        <v>1</v>
      </c>
      <c r="B131" s="339" t="s">
        <v>961</v>
      </c>
      <c r="C131" s="27"/>
      <c r="D131" s="229">
        <v>0.236</v>
      </c>
      <c r="E131" s="229">
        <f>H131+K131+N131+Q131</f>
        <v>0.1064124</v>
      </c>
      <c r="F131" s="229">
        <f>I131+L131+O131</f>
        <v>0</v>
      </c>
      <c r="G131" s="857">
        <v>0</v>
      </c>
      <c r="H131" s="229"/>
      <c r="I131" s="229"/>
      <c r="J131" s="857">
        <v>0</v>
      </c>
      <c r="K131" s="229"/>
      <c r="L131" s="229"/>
      <c r="M131" s="857">
        <f>D131</f>
        <v>0.236</v>
      </c>
      <c r="N131" s="229">
        <f>90.18*1.18/1000</f>
        <v>0.1064124</v>
      </c>
      <c r="O131" s="229"/>
      <c r="P131" s="522">
        <v>0</v>
      </c>
      <c r="Q131" s="229"/>
      <c r="R131" s="869">
        <f>E131+F131</f>
        <v>0.1064124</v>
      </c>
      <c r="S131" s="229">
        <f>Q131</f>
        <v>0</v>
      </c>
      <c r="T131" s="229"/>
      <c r="U131" s="229"/>
      <c r="V131" s="299">
        <f>D131-E131-F131</f>
        <v>0.12958759999999997</v>
      </c>
      <c r="W131" s="229">
        <f>V131</f>
        <v>0.12958759999999997</v>
      </c>
      <c r="X131" s="851">
        <f>W131/D131</f>
        <v>0.5490999999999999</v>
      </c>
      <c r="Y131" s="227"/>
      <c r="Z131" s="229">
        <f>W131</f>
        <v>0.12958759999999997</v>
      </c>
      <c r="AA131" s="7"/>
    </row>
    <row r="132" spans="1:27" s="18" customFormat="1" ht="64.5" customHeight="1">
      <c r="A132" s="839">
        <f>A131+1</f>
        <v>2</v>
      </c>
      <c r="B132" s="339" t="s">
        <v>962</v>
      </c>
      <c r="C132" s="27"/>
      <c r="D132" s="229">
        <v>0.236</v>
      </c>
      <c r="E132" s="229">
        <f>H132+K132+N132+Q132</f>
        <v>0.0665874</v>
      </c>
      <c r="F132" s="229">
        <f>I132+L132+O132</f>
        <v>0</v>
      </c>
      <c r="G132" s="857">
        <v>0</v>
      </c>
      <c r="H132" s="229"/>
      <c r="I132" s="229"/>
      <c r="J132" s="857">
        <v>0</v>
      </c>
      <c r="K132" s="229"/>
      <c r="L132" s="229"/>
      <c r="M132" s="857">
        <f>D132</f>
        <v>0.236</v>
      </c>
      <c r="N132" s="229">
        <f>56.43*1.18/1000</f>
        <v>0.0665874</v>
      </c>
      <c r="O132" s="229"/>
      <c r="P132" s="522">
        <v>0</v>
      </c>
      <c r="Q132" s="229"/>
      <c r="R132" s="869">
        <f>E132+F132</f>
        <v>0.0665874</v>
      </c>
      <c r="S132" s="229">
        <f>Q132</f>
        <v>0</v>
      </c>
      <c r="T132" s="229"/>
      <c r="U132" s="229"/>
      <c r="V132" s="299">
        <f>D132-E132-F132</f>
        <v>0.16941259999999997</v>
      </c>
      <c r="W132" s="229">
        <f>V132</f>
        <v>0.16941259999999997</v>
      </c>
      <c r="X132" s="851">
        <f>W132/D132</f>
        <v>0.7178499999999999</v>
      </c>
      <c r="Y132" s="227"/>
      <c r="Z132" s="229">
        <f>W132</f>
        <v>0.16941259999999997</v>
      </c>
      <c r="AA132" s="7"/>
    </row>
    <row r="133" spans="1:27" s="18" customFormat="1" ht="64.5" customHeight="1">
      <c r="A133" s="839">
        <f>A132+1</f>
        <v>3</v>
      </c>
      <c r="B133" s="339" t="s">
        <v>1014</v>
      </c>
      <c r="C133" s="27"/>
      <c r="D133" s="229">
        <v>0</v>
      </c>
      <c r="E133" s="229">
        <f>H133+K133+N133+Q133</f>
        <v>6.5917395999999995</v>
      </c>
      <c r="F133" s="229">
        <f>I133+L133+O133</f>
        <v>0</v>
      </c>
      <c r="G133" s="857">
        <v>0</v>
      </c>
      <c r="H133" s="229"/>
      <c r="I133" s="229"/>
      <c r="J133" s="857">
        <v>0</v>
      </c>
      <c r="K133" s="229"/>
      <c r="L133" s="229"/>
      <c r="M133" s="857">
        <v>0</v>
      </c>
      <c r="N133" s="229">
        <v>0</v>
      </c>
      <c r="O133" s="229"/>
      <c r="P133" s="522">
        <v>0</v>
      </c>
      <c r="Q133" s="883">
        <f>5.58622*1.18</f>
        <v>6.5917395999999995</v>
      </c>
      <c r="R133" s="869">
        <f>E133+F133</f>
        <v>6.5917395999999995</v>
      </c>
      <c r="S133" s="229">
        <f>Q133</f>
        <v>6.5917395999999995</v>
      </c>
      <c r="T133" s="229"/>
      <c r="U133" s="229"/>
      <c r="V133" s="299">
        <f>D133-E133-F133</f>
        <v>-6.5917395999999995</v>
      </c>
      <c r="W133" s="229">
        <f>V133</f>
        <v>-6.5917395999999995</v>
      </c>
      <c r="X133" s="851"/>
      <c r="Y133" s="227"/>
      <c r="Z133" s="229">
        <f>W133</f>
        <v>-6.5917395999999995</v>
      </c>
      <c r="AA133" s="868" t="s">
        <v>1009</v>
      </c>
    </row>
    <row r="134" spans="1:27" s="18" customFormat="1" ht="64.5" customHeight="1">
      <c r="A134" s="839">
        <f>A133+1</f>
        <v>4</v>
      </c>
      <c r="B134" s="339" t="s">
        <v>1015</v>
      </c>
      <c r="C134" s="27"/>
      <c r="D134" s="229">
        <v>0</v>
      </c>
      <c r="E134" s="229">
        <f>H134+K134+N134+Q134</f>
        <v>1.1682</v>
      </c>
      <c r="F134" s="229">
        <f>I134+L134+O134</f>
        <v>0</v>
      </c>
      <c r="G134" s="857">
        <v>0</v>
      </c>
      <c r="H134" s="229"/>
      <c r="I134" s="229"/>
      <c r="J134" s="857">
        <v>0</v>
      </c>
      <c r="K134" s="229"/>
      <c r="L134" s="229"/>
      <c r="M134" s="857">
        <v>0</v>
      </c>
      <c r="N134" s="229">
        <v>0</v>
      </c>
      <c r="O134" s="229"/>
      <c r="P134" s="522">
        <v>0</v>
      </c>
      <c r="Q134" s="883">
        <f>0.99*1.18</f>
        <v>1.1682</v>
      </c>
      <c r="R134" s="869">
        <f>E134+F134</f>
        <v>1.1682</v>
      </c>
      <c r="S134" s="229">
        <f>Q134</f>
        <v>1.1682</v>
      </c>
      <c r="T134" s="229"/>
      <c r="U134" s="229"/>
      <c r="V134" s="299">
        <f>D134-E134-F134</f>
        <v>-1.1682</v>
      </c>
      <c r="W134" s="229">
        <f>V134</f>
        <v>-1.1682</v>
      </c>
      <c r="X134" s="851"/>
      <c r="Y134" s="227"/>
      <c r="Z134" s="229">
        <f>W134</f>
        <v>-1.1682</v>
      </c>
      <c r="AA134" s="868" t="s">
        <v>1009</v>
      </c>
    </row>
    <row r="135" spans="1:27" s="657" customFormat="1" ht="15.75">
      <c r="A135" s="842" t="s">
        <v>878</v>
      </c>
      <c r="B135" s="843" t="s">
        <v>563</v>
      </c>
      <c r="C135" s="844"/>
      <c r="D135" s="845">
        <f aca="true" t="shared" si="80" ref="D135:P135">SUM(D136)</f>
        <v>0.295</v>
      </c>
      <c r="E135" s="845">
        <f t="shared" si="80"/>
        <v>0.14142299999999997</v>
      </c>
      <c r="F135" s="845">
        <f t="shared" si="80"/>
        <v>0</v>
      </c>
      <c r="G135" s="860">
        <f t="shared" si="80"/>
        <v>0</v>
      </c>
      <c r="H135" s="845">
        <f t="shared" si="80"/>
        <v>0</v>
      </c>
      <c r="I135" s="845">
        <f t="shared" si="80"/>
        <v>0</v>
      </c>
      <c r="J135" s="860">
        <f t="shared" si="80"/>
        <v>0</v>
      </c>
      <c r="K135" s="845">
        <f t="shared" si="80"/>
        <v>0</v>
      </c>
      <c r="L135" s="845">
        <f t="shared" si="80"/>
        <v>0</v>
      </c>
      <c r="M135" s="860">
        <f t="shared" si="80"/>
        <v>0.295</v>
      </c>
      <c r="N135" s="845">
        <f t="shared" si="80"/>
        <v>0.14142299999999997</v>
      </c>
      <c r="O135" s="845">
        <f t="shared" si="80"/>
        <v>0</v>
      </c>
      <c r="P135" s="860">
        <f t="shared" si="80"/>
        <v>0</v>
      </c>
      <c r="Q135" s="845">
        <f aca="true" t="shared" si="81" ref="Q135:W135">SUM(Q136)</f>
        <v>0</v>
      </c>
      <c r="R135" s="879">
        <f t="shared" si="81"/>
        <v>0.14142299999999997</v>
      </c>
      <c r="S135" s="845">
        <f t="shared" si="81"/>
        <v>0</v>
      </c>
      <c r="T135" s="845">
        <f t="shared" si="81"/>
        <v>0</v>
      </c>
      <c r="U135" s="845">
        <f t="shared" si="81"/>
        <v>0</v>
      </c>
      <c r="V135" s="845">
        <f t="shared" si="81"/>
        <v>0.15357700000000002</v>
      </c>
      <c r="W135" s="845">
        <f t="shared" si="81"/>
        <v>0.15357700000000002</v>
      </c>
      <c r="X135" s="654"/>
      <c r="Y135" s="845">
        <f>SUM(Y136)</f>
        <v>0</v>
      </c>
      <c r="Z135" s="845">
        <f>SUM(Z136)</f>
        <v>0.15357700000000002</v>
      </c>
      <c r="AA135" s="846"/>
    </row>
    <row r="136" spans="1:27" s="18" customFormat="1" ht="53.25" customHeight="1">
      <c r="A136" s="839">
        <v>1</v>
      </c>
      <c r="B136" s="339" t="s">
        <v>963</v>
      </c>
      <c r="C136" s="27"/>
      <c r="D136" s="229">
        <v>0.295</v>
      </c>
      <c r="E136" s="229">
        <f>H136+K136+N136+Q136</f>
        <v>0.14142299999999997</v>
      </c>
      <c r="F136" s="229">
        <f>I136+L136+O136</f>
        <v>0</v>
      </c>
      <c r="G136" s="857">
        <v>0</v>
      </c>
      <c r="H136" s="229"/>
      <c r="I136" s="229"/>
      <c r="J136" s="857">
        <v>0</v>
      </c>
      <c r="K136" s="229"/>
      <c r="L136" s="229"/>
      <c r="M136" s="857">
        <f>D136</f>
        <v>0.295</v>
      </c>
      <c r="N136" s="229">
        <f>119.85*1.18/1000</f>
        <v>0.14142299999999997</v>
      </c>
      <c r="O136" s="229"/>
      <c r="P136" s="522">
        <v>0</v>
      </c>
      <c r="Q136" s="229"/>
      <c r="R136" s="869">
        <f>E136+F136</f>
        <v>0.14142299999999997</v>
      </c>
      <c r="S136" s="229">
        <f>Q136</f>
        <v>0</v>
      </c>
      <c r="T136" s="229"/>
      <c r="U136" s="229"/>
      <c r="V136" s="299">
        <f>D136-E136-F136</f>
        <v>0.15357700000000002</v>
      </c>
      <c r="W136" s="229">
        <f>V136</f>
        <v>0.15357700000000002</v>
      </c>
      <c r="X136" s="851">
        <f>W136/D136</f>
        <v>0.5206000000000001</v>
      </c>
      <c r="Y136" s="229"/>
      <c r="Z136" s="229">
        <f>W136</f>
        <v>0.15357700000000002</v>
      </c>
      <c r="AA136" s="7"/>
    </row>
    <row r="137" spans="1:27" s="657" customFormat="1" ht="15.75">
      <c r="A137" s="842" t="s">
        <v>879</v>
      </c>
      <c r="B137" s="843" t="s">
        <v>562</v>
      </c>
      <c r="C137" s="844"/>
      <c r="D137" s="845">
        <f aca="true" t="shared" si="82" ref="D137:P137">SUM(D138)</f>
        <v>2.03727</v>
      </c>
      <c r="E137" s="845">
        <f t="shared" si="82"/>
        <v>0</v>
      </c>
      <c r="F137" s="845">
        <f t="shared" si="82"/>
        <v>0</v>
      </c>
      <c r="G137" s="860">
        <f t="shared" si="82"/>
        <v>0</v>
      </c>
      <c r="H137" s="845">
        <f t="shared" si="82"/>
        <v>0</v>
      </c>
      <c r="I137" s="845">
        <f t="shared" si="82"/>
        <v>0</v>
      </c>
      <c r="J137" s="860">
        <f t="shared" si="82"/>
        <v>2.03727</v>
      </c>
      <c r="K137" s="845">
        <f t="shared" si="82"/>
        <v>0</v>
      </c>
      <c r="L137" s="845">
        <f t="shared" si="82"/>
        <v>0</v>
      </c>
      <c r="M137" s="860">
        <f t="shared" si="82"/>
        <v>0</v>
      </c>
      <c r="N137" s="845">
        <f t="shared" si="82"/>
        <v>0</v>
      </c>
      <c r="O137" s="845">
        <f t="shared" si="82"/>
        <v>0</v>
      </c>
      <c r="P137" s="860">
        <f t="shared" si="82"/>
        <v>0</v>
      </c>
      <c r="Q137" s="845">
        <f aca="true" t="shared" si="83" ref="Q137:W137">SUM(Q138)</f>
        <v>0</v>
      </c>
      <c r="R137" s="879">
        <f t="shared" si="83"/>
        <v>0</v>
      </c>
      <c r="S137" s="845">
        <f t="shared" si="83"/>
        <v>0</v>
      </c>
      <c r="T137" s="845">
        <f t="shared" si="83"/>
        <v>0</v>
      </c>
      <c r="U137" s="845">
        <f t="shared" si="83"/>
        <v>0</v>
      </c>
      <c r="V137" s="845">
        <f t="shared" si="83"/>
        <v>2.03727</v>
      </c>
      <c r="W137" s="845">
        <f t="shared" si="83"/>
        <v>2.03727</v>
      </c>
      <c r="X137" s="654"/>
      <c r="Y137" s="845">
        <f>SUM(Y138)</f>
        <v>0</v>
      </c>
      <c r="Z137" s="845">
        <f>SUM(Z138)</f>
        <v>2.03727</v>
      </c>
      <c r="AA137" s="846"/>
    </row>
    <row r="138" spans="1:27" s="18" customFormat="1" ht="39.75" customHeight="1">
      <c r="A138" s="839">
        <f>A136+1</f>
        <v>2</v>
      </c>
      <c r="B138" s="339" t="s">
        <v>944</v>
      </c>
      <c r="C138" s="27"/>
      <c r="D138" s="229">
        <v>2.03727</v>
      </c>
      <c r="E138" s="229">
        <f>H138+K138+N138+Q138</f>
        <v>0</v>
      </c>
      <c r="F138" s="229">
        <f>I138+L138+O138</f>
        <v>0</v>
      </c>
      <c r="G138" s="857"/>
      <c r="H138" s="229"/>
      <c r="I138" s="229"/>
      <c r="J138" s="857">
        <f>D138</f>
        <v>2.03727</v>
      </c>
      <c r="K138" s="229"/>
      <c r="L138" s="229"/>
      <c r="M138" s="857">
        <v>0</v>
      </c>
      <c r="N138" s="229"/>
      <c r="O138" s="229"/>
      <c r="P138" s="522">
        <v>0</v>
      </c>
      <c r="Q138" s="229"/>
      <c r="R138" s="869">
        <f>E138+F138</f>
        <v>0</v>
      </c>
      <c r="S138" s="229">
        <f>Q138</f>
        <v>0</v>
      </c>
      <c r="T138" s="229"/>
      <c r="U138" s="229"/>
      <c r="V138" s="299">
        <f>D138-E138-F138</f>
        <v>2.03727</v>
      </c>
      <c r="W138" s="229">
        <f>V138</f>
        <v>2.03727</v>
      </c>
      <c r="X138" s="851"/>
      <c r="Y138" s="229"/>
      <c r="Z138" s="229">
        <f>W138</f>
        <v>2.03727</v>
      </c>
      <c r="AA138" s="7"/>
    </row>
    <row r="139" spans="1:27" ht="15.75">
      <c r="A139" s="278" t="s">
        <v>819</v>
      </c>
      <c r="B139" s="826" t="s">
        <v>834</v>
      </c>
      <c r="C139" s="275"/>
      <c r="D139" s="290">
        <f aca="true" t="shared" si="84" ref="D139:P139">D140</f>
        <v>2.5892622</v>
      </c>
      <c r="E139" s="290">
        <f t="shared" si="84"/>
        <v>1.5758073999999997</v>
      </c>
      <c r="F139" s="290">
        <f t="shared" si="84"/>
        <v>0</v>
      </c>
      <c r="G139" s="290">
        <f t="shared" si="84"/>
        <v>0</v>
      </c>
      <c r="H139" s="290">
        <f t="shared" si="84"/>
        <v>0</v>
      </c>
      <c r="I139" s="290">
        <f t="shared" si="84"/>
        <v>0</v>
      </c>
      <c r="J139" s="290">
        <f t="shared" si="84"/>
        <v>0</v>
      </c>
      <c r="K139" s="290">
        <f t="shared" si="84"/>
        <v>0</v>
      </c>
      <c r="L139" s="290">
        <f t="shared" si="84"/>
        <v>0</v>
      </c>
      <c r="M139" s="290">
        <f t="shared" si="84"/>
        <v>2.5892622</v>
      </c>
      <c r="N139" s="290">
        <f t="shared" si="84"/>
        <v>0</v>
      </c>
      <c r="O139" s="290">
        <f t="shared" si="84"/>
        <v>0</v>
      </c>
      <c r="P139" s="290">
        <f t="shared" si="84"/>
        <v>0</v>
      </c>
      <c r="Q139" s="290">
        <f aca="true" t="shared" si="85" ref="Q139:Z139">Q140</f>
        <v>1.5758073999999997</v>
      </c>
      <c r="R139" s="290">
        <f t="shared" si="85"/>
        <v>1.5758073999999997</v>
      </c>
      <c r="S139" s="290">
        <f t="shared" si="85"/>
        <v>1.5758073999999997</v>
      </c>
      <c r="T139" s="290">
        <f t="shared" si="85"/>
        <v>0</v>
      </c>
      <c r="U139" s="290">
        <f t="shared" si="85"/>
        <v>0</v>
      </c>
      <c r="V139" s="290">
        <f t="shared" si="85"/>
        <v>1.0134548</v>
      </c>
      <c r="W139" s="290">
        <f t="shared" si="85"/>
        <v>1.0134548</v>
      </c>
      <c r="X139" s="290">
        <f t="shared" si="85"/>
        <v>0</v>
      </c>
      <c r="Y139" s="290">
        <f t="shared" si="85"/>
        <v>0</v>
      </c>
      <c r="Z139" s="290">
        <f t="shared" si="85"/>
        <v>1.0134548</v>
      </c>
      <c r="AA139" s="277"/>
    </row>
    <row r="140" spans="1:27" s="657" customFormat="1" ht="15.75">
      <c r="A140" s="842" t="s">
        <v>881</v>
      </c>
      <c r="B140" s="843" t="s">
        <v>561</v>
      </c>
      <c r="C140" s="844"/>
      <c r="D140" s="845">
        <f aca="true" t="shared" si="86" ref="D140:P140">D141+D142</f>
        <v>2.5892622</v>
      </c>
      <c r="E140" s="845">
        <f t="shared" si="86"/>
        <v>1.5758073999999997</v>
      </c>
      <c r="F140" s="845">
        <f t="shared" si="86"/>
        <v>0</v>
      </c>
      <c r="G140" s="860">
        <f t="shared" si="86"/>
        <v>0</v>
      </c>
      <c r="H140" s="845">
        <f t="shared" si="86"/>
        <v>0</v>
      </c>
      <c r="I140" s="845">
        <f t="shared" si="86"/>
        <v>0</v>
      </c>
      <c r="J140" s="860">
        <f t="shared" si="86"/>
        <v>0</v>
      </c>
      <c r="K140" s="845">
        <f t="shared" si="86"/>
        <v>0</v>
      </c>
      <c r="L140" s="845">
        <f t="shared" si="86"/>
        <v>0</v>
      </c>
      <c r="M140" s="860">
        <f t="shared" si="86"/>
        <v>2.5892622</v>
      </c>
      <c r="N140" s="845">
        <f t="shared" si="86"/>
        <v>0</v>
      </c>
      <c r="O140" s="845">
        <f t="shared" si="86"/>
        <v>0</v>
      </c>
      <c r="P140" s="860">
        <f t="shared" si="86"/>
        <v>0</v>
      </c>
      <c r="Q140" s="845">
        <f aca="true" t="shared" si="87" ref="Q140:Z140">Q141+Q142</f>
        <v>1.5758073999999997</v>
      </c>
      <c r="R140" s="845">
        <f t="shared" si="87"/>
        <v>1.5758073999999997</v>
      </c>
      <c r="S140" s="845">
        <f t="shared" si="87"/>
        <v>1.5758073999999997</v>
      </c>
      <c r="T140" s="845">
        <f t="shared" si="87"/>
        <v>0</v>
      </c>
      <c r="U140" s="845">
        <f t="shared" si="87"/>
        <v>0</v>
      </c>
      <c r="V140" s="845">
        <f t="shared" si="87"/>
        <v>1.0134548</v>
      </c>
      <c r="W140" s="845">
        <f t="shared" si="87"/>
        <v>1.0134548</v>
      </c>
      <c r="X140" s="845">
        <f t="shared" si="87"/>
        <v>0</v>
      </c>
      <c r="Y140" s="845">
        <f t="shared" si="87"/>
        <v>0</v>
      </c>
      <c r="Z140" s="845">
        <f t="shared" si="87"/>
        <v>1.0134548</v>
      </c>
      <c r="AA140" s="846"/>
    </row>
    <row r="141" spans="1:27" s="18" customFormat="1" ht="37.5" customHeight="1">
      <c r="A141" s="839">
        <v>1</v>
      </c>
      <c r="B141" s="339" t="s">
        <v>880</v>
      </c>
      <c r="C141" s="27"/>
      <c r="D141" s="229">
        <v>2.5892622</v>
      </c>
      <c r="E141" s="229">
        <f>H141+K141+N141+Q141</f>
        <v>0</v>
      </c>
      <c r="F141" s="229">
        <f>I141+L141+O141</f>
        <v>0</v>
      </c>
      <c r="G141" s="857">
        <v>0</v>
      </c>
      <c r="H141" s="229"/>
      <c r="I141" s="229"/>
      <c r="J141" s="857">
        <v>0</v>
      </c>
      <c r="K141" s="229"/>
      <c r="L141" s="229"/>
      <c r="M141" s="857">
        <f>D141</f>
        <v>2.5892622</v>
      </c>
      <c r="N141" s="229"/>
      <c r="O141" s="229"/>
      <c r="P141" s="522">
        <v>0</v>
      </c>
      <c r="Q141" s="229"/>
      <c r="R141" s="869">
        <f>E141+F141</f>
        <v>0</v>
      </c>
      <c r="S141" s="229">
        <f>Q141</f>
        <v>0</v>
      </c>
      <c r="T141" s="229"/>
      <c r="U141" s="229"/>
      <c r="V141" s="299">
        <f>D141-E141-F141</f>
        <v>2.5892622</v>
      </c>
      <c r="W141" s="229">
        <f>V141</f>
        <v>2.5892622</v>
      </c>
      <c r="X141" s="851"/>
      <c r="Y141" s="229"/>
      <c r="Z141" s="229">
        <f>W141</f>
        <v>2.5892622</v>
      </c>
      <c r="AA141" s="868" t="s">
        <v>1037</v>
      </c>
    </row>
    <row r="142" spans="1:27" s="18" customFormat="1" ht="84.75" customHeight="1">
      <c r="A142" s="839">
        <v>2</v>
      </c>
      <c r="B142" s="339" t="s">
        <v>1013</v>
      </c>
      <c r="C142" s="27"/>
      <c r="D142" s="229">
        <v>0</v>
      </c>
      <c r="E142" s="229">
        <f>H142+K142+N142+Q142</f>
        <v>1.5758073999999997</v>
      </c>
      <c r="F142" s="229">
        <f>I142+L142+O142</f>
        <v>0</v>
      </c>
      <c r="G142" s="857">
        <v>0</v>
      </c>
      <c r="H142" s="229"/>
      <c r="I142" s="229"/>
      <c r="J142" s="857">
        <v>0</v>
      </c>
      <c r="K142" s="229"/>
      <c r="L142" s="229"/>
      <c r="M142" s="857">
        <v>0</v>
      </c>
      <c r="N142" s="229"/>
      <c r="O142" s="229"/>
      <c r="P142" s="522">
        <v>0</v>
      </c>
      <c r="Q142" s="883">
        <f>1.33543*1.18</f>
        <v>1.5758073999999997</v>
      </c>
      <c r="R142" s="869">
        <f>E142+F142</f>
        <v>1.5758073999999997</v>
      </c>
      <c r="S142" s="229">
        <f>Q142</f>
        <v>1.5758073999999997</v>
      </c>
      <c r="T142" s="229"/>
      <c r="U142" s="229"/>
      <c r="V142" s="299">
        <f>D142-E142-F142</f>
        <v>-1.5758073999999997</v>
      </c>
      <c r="W142" s="229">
        <f>V142</f>
        <v>-1.5758073999999997</v>
      </c>
      <c r="X142" s="851"/>
      <c r="Y142" s="229"/>
      <c r="Z142" s="229">
        <f>W142</f>
        <v>-1.5758073999999997</v>
      </c>
      <c r="AA142" s="868" t="s">
        <v>1009</v>
      </c>
    </row>
    <row r="143" spans="1:27" ht="90.75" customHeight="1">
      <c r="A143" s="278" t="s">
        <v>882</v>
      </c>
      <c r="B143" s="826" t="s">
        <v>883</v>
      </c>
      <c r="C143" s="275"/>
      <c r="D143" s="290">
        <f aca="true" t="shared" si="88" ref="D143:W143">SUM(D145:D145)</f>
        <v>0</v>
      </c>
      <c r="E143" s="290">
        <f t="shared" si="88"/>
        <v>0</v>
      </c>
      <c r="F143" s="290">
        <f t="shared" si="88"/>
        <v>0</v>
      </c>
      <c r="G143" s="290">
        <f t="shared" si="88"/>
        <v>0</v>
      </c>
      <c r="H143" s="290">
        <f t="shared" si="88"/>
        <v>0</v>
      </c>
      <c r="I143" s="290">
        <f t="shared" si="88"/>
        <v>0</v>
      </c>
      <c r="J143" s="290">
        <f t="shared" si="88"/>
        <v>0</v>
      </c>
      <c r="K143" s="290">
        <f t="shared" si="88"/>
        <v>0</v>
      </c>
      <c r="L143" s="290">
        <f>SUM(L145:L145)</f>
        <v>0</v>
      </c>
      <c r="M143" s="290">
        <f t="shared" si="88"/>
        <v>0</v>
      </c>
      <c r="N143" s="290">
        <f>SUM(N145:N145)</f>
        <v>0</v>
      </c>
      <c r="O143" s="290">
        <f>SUM(O145:O145)</f>
        <v>0</v>
      </c>
      <c r="P143" s="290">
        <f t="shared" si="88"/>
        <v>0</v>
      </c>
      <c r="Q143" s="290">
        <f t="shared" si="88"/>
        <v>0</v>
      </c>
      <c r="R143" s="878">
        <f t="shared" si="88"/>
        <v>0</v>
      </c>
      <c r="S143" s="290">
        <f t="shared" si="88"/>
        <v>0</v>
      </c>
      <c r="T143" s="290">
        <f t="shared" si="88"/>
        <v>0</v>
      </c>
      <c r="U143" s="290">
        <f t="shared" si="88"/>
        <v>0</v>
      </c>
      <c r="V143" s="290">
        <f t="shared" si="88"/>
        <v>0</v>
      </c>
      <c r="W143" s="290">
        <f t="shared" si="88"/>
        <v>0</v>
      </c>
      <c r="X143" s="290"/>
      <c r="Y143" s="290">
        <f>SUM(Y145:Y145)</f>
        <v>0</v>
      </c>
      <c r="Z143" s="290">
        <f>SUM(Z145:Z145)</f>
        <v>0</v>
      </c>
      <c r="AA143" s="277"/>
    </row>
    <row r="144" spans="1:27" s="657" customFormat="1" ht="15.75">
      <c r="A144" s="842" t="s">
        <v>884</v>
      </c>
      <c r="B144" s="843" t="s">
        <v>561</v>
      </c>
      <c r="C144" s="844"/>
      <c r="D144" s="845">
        <f aca="true" t="shared" si="89" ref="D144:P144">SUM(D145:D145)</f>
        <v>0</v>
      </c>
      <c r="E144" s="845">
        <f t="shared" si="89"/>
        <v>0</v>
      </c>
      <c r="F144" s="845">
        <f t="shared" si="89"/>
        <v>0</v>
      </c>
      <c r="G144" s="860">
        <f t="shared" si="89"/>
        <v>0</v>
      </c>
      <c r="H144" s="845">
        <f t="shared" si="89"/>
        <v>0</v>
      </c>
      <c r="I144" s="845">
        <f t="shared" si="89"/>
        <v>0</v>
      </c>
      <c r="J144" s="860">
        <f t="shared" si="89"/>
        <v>0</v>
      </c>
      <c r="K144" s="845">
        <f t="shared" si="89"/>
        <v>0</v>
      </c>
      <c r="L144" s="845">
        <f t="shared" si="89"/>
        <v>0</v>
      </c>
      <c r="M144" s="860">
        <f t="shared" si="89"/>
        <v>0</v>
      </c>
      <c r="N144" s="845">
        <f t="shared" si="89"/>
        <v>0</v>
      </c>
      <c r="O144" s="845">
        <f t="shared" si="89"/>
        <v>0</v>
      </c>
      <c r="P144" s="860">
        <f t="shared" si="89"/>
        <v>0</v>
      </c>
      <c r="Q144" s="845">
        <f aca="true" t="shared" si="90" ref="Q144:W144">SUM(Q145:Q145)</f>
        <v>0</v>
      </c>
      <c r="R144" s="879">
        <f t="shared" si="90"/>
        <v>0</v>
      </c>
      <c r="S144" s="845">
        <f t="shared" si="90"/>
        <v>0</v>
      </c>
      <c r="T144" s="845">
        <f t="shared" si="90"/>
        <v>0</v>
      </c>
      <c r="U144" s="845">
        <f t="shared" si="90"/>
        <v>0</v>
      </c>
      <c r="V144" s="845">
        <f t="shared" si="90"/>
        <v>0</v>
      </c>
      <c r="W144" s="845">
        <f t="shared" si="90"/>
        <v>0</v>
      </c>
      <c r="X144" s="654"/>
      <c r="Y144" s="845">
        <f>SUM(Y145:Y145)</f>
        <v>0</v>
      </c>
      <c r="Z144" s="845">
        <f>SUM(Z145:Z145)</f>
        <v>0</v>
      </c>
      <c r="AA144" s="846"/>
    </row>
    <row r="145" spans="1:27" s="18" customFormat="1" ht="63">
      <c r="A145" s="839">
        <v>1</v>
      </c>
      <c r="B145" s="853" t="s">
        <v>883</v>
      </c>
      <c r="C145" s="27"/>
      <c r="D145" s="229">
        <v>0</v>
      </c>
      <c r="E145" s="229">
        <f>H145+K145+N145+Q145</f>
        <v>0</v>
      </c>
      <c r="F145" s="229">
        <f>I145+L145+O145</f>
        <v>0</v>
      </c>
      <c r="G145" s="855">
        <v>0</v>
      </c>
      <c r="H145" s="229"/>
      <c r="I145" s="229"/>
      <c r="J145" s="855">
        <v>0</v>
      </c>
      <c r="K145" s="229"/>
      <c r="L145" s="229"/>
      <c r="M145" s="855">
        <v>0</v>
      </c>
      <c r="N145" s="229"/>
      <c r="O145" s="229"/>
      <c r="P145" s="855">
        <f>D145</f>
        <v>0</v>
      </c>
      <c r="Q145" s="229"/>
      <c r="R145" s="869">
        <f>E145+F145</f>
        <v>0</v>
      </c>
      <c r="S145" s="229">
        <f>N145+O145</f>
        <v>0</v>
      </c>
      <c r="T145" s="229"/>
      <c r="U145" s="229"/>
      <c r="V145" s="299">
        <f>D145-E145-F145</f>
        <v>0</v>
      </c>
      <c r="W145" s="229">
        <f>V145</f>
        <v>0</v>
      </c>
      <c r="X145" s="851"/>
      <c r="Y145" s="229"/>
      <c r="Z145" s="229">
        <f>W145</f>
        <v>0</v>
      </c>
      <c r="AA145" s="7"/>
    </row>
    <row r="146" spans="1:27" ht="31.5">
      <c r="A146" s="279" t="s">
        <v>80</v>
      </c>
      <c r="B146" s="214" t="s">
        <v>564</v>
      </c>
      <c r="C146" s="214"/>
      <c r="D146" s="289">
        <f>SUM(D147:D147)</f>
        <v>13.499884400000001</v>
      </c>
      <c r="E146" s="289">
        <f aca="true" t="shared" si="91" ref="E146:Z146">SUM(E147:E147)</f>
        <v>13.720190399999998</v>
      </c>
      <c r="F146" s="289">
        <f t="shared" si="91"/>
        <v>0</v>
      </c>
      <c r="G146" s="289">
        <f t="shared" si="91"/>
        <v>0.234</v>
      </c>
      <c r="H146" s="289">
        <f t="shared" si="91"/>
        <v>0.2337698</v>
      </c>
      <c r="I146" s="289">
        <f t="shared" si="91"/>
        <v>0</v>
      </c>
      <c r="J146" s="289">
        <f t="shared" si="91"/>
        <v>0</v>
      </c>
      <c r="K146" s="289">
        <f t="shared" si="91"/>
        <v>0</v>
      </c>
      <c r="L146" s="289">
        <f t="shared" si="91"/>
        <v>0</v>
      </c>
      <c r="M146" s="289">
        <f t="shared" si="91"/>
        <v>0.463</v>
      </c>
      <c r="N146" s="289">
        <f t="shared" si="91"/>
        <v>0</v>
      </c>
      <c r="O146" s="289">
        <f t="shared" si="91"/>
        <v>0</v>
      </c>
      <c r="P146" s="289">
        <f t="shared" si="91"/>
        <v>12.803</v>
      </c>
      <c r="Q146" s="289">
        <f t="shared" si="91"/>
        <v>13.486420599999999</v>
      </c>
      <c r="R146" s="876">
        <f t="shared" si="91"/>
        <v>13.720190399999998</v>
      </c>
      <c r="S146" s="289">
        <f t="shared" si="91"/>
        <v>13.486420599999999</v>
      </c>
      <c r="T146" s="289">
        <f t="shared" si="91"/>
        <v>0</v>
      </c>
      <c r="U146" s="289">
        <f t="shared" si="91"/>
        <v>0</v>
      </c>
      <c r="V146" s="289">
        <f t="shared" si="91"/>
        <v>-0.22030599999999723</v>
      </c>
      <c r="W146" s="289">
        <f t="shared" si="91"/>
        <v>-0.22030599999999723</v>
      </c>
      <c r="X146" s="289"/>
      <c r="Y146" s="289">
        <f t="shared" si="91"/>
        <v>0</v>
      </c>
      <c r="Z146" s="289">
        <f t="shared" si="91"/>
        <v>-0.22030599999999723</v>
      </c>
      <c r="AA146" s="281"/>
    </row>
    <row r="147" spans="1:27" ht="47.25" customHeight="1">
      <c r="A147" s="856">
        <v>1</v>
      </c>
      <c r="B147" s="209" t="s">
        <v>885</v>
      </c>
      <c r="C147" s="5"/>
      <c r="D147" s="229">
        <v>13.499884400000001</v>
      </c>
      <c r="E147" s="229">
        <f>H147+K147+N147+Q147</f>
        <v>13.720190399999998</v>
      </c>
      <c r="F147" s="229">
        <f>I147+L147+O147</f>
        <v>0</v>
      </c>
      <c r="G147" s="522">
        <v>0.234</v>
      </c>
      <c r="H147" s="229">
        <f>0.19811*1.18</f>
        <v>0.2337698</v>
      </c>
      <c r="I147" s="229"/>
      <c r="J147" s="522">
        <v>0</v>
      </c>
      <c r="K147" s="229"/>
      <c r="L147" s="229"/>
      <c r="M147" s="522">
        <v>0.463</v>
      </c>
      <c r="N147" s="229"/>
      <c r="O147" s="229"/>
      <c r="P147" s="522">
        <v>12.803</v>
      </c>
      <c r="Q147" s="229">
        <f>11.42917*1.18</f>
        <v>13.486420599999999</v>
      </c>
      <c r="R147" s="869">
        <f>E147+F147</f>
        <v>13.720190399999998</v>
      </c>
      <c r="S147" s="229">
        <f>Q147</f>
        <v>13.486420599999999</v>
      </c>
      <c r="T147" s="229"/>
      <c r="U147" s="229"/>
      <c r="V147" s="299">
        <f>D147-E147-F147</f>
        <v>-0.22030599999999723</v>
      </c>
      <c r="W147" s="229">
        <f>V147</f>
        <v>-0.22030599999999723</v>
      </c>
      <c r="X147" s="851">
        <f>W147/D147</f>
        <v>-0.01631910270283479</v>
      </c>
      <c r="Y147" s="229"/>
      <c r="Z147" s="229">
        <f>W147</f>
        <v>-0.22030599999999723</v>
      </c>
      <c r="AA147" s="7"/>
    </row>
    <row r="148" spans="1:27" ht="15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157"/>
      <c r="V148" s="71"/>
      <c r="W148" s="71"/>
      <c r="X148" s="71"/>
      <c r="Y148" s="71"/>
      <c r="Z148" s="71"/>
      <c r="AA148" s="71"/>
    </row>
    <row r="149" spans="1:27" ht="15.75">
      <c r="A149" s="71"/>
      <c r="B149" s="7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308"/>
      <c r="V149" s="28"/>
      <c r="W149" s="28"/>
      <c r="X149" s="28"/>
      <c r="Y149" s="28"/>
      <c r="Z149" s="28"/>
      <c r="AA149" s="28"/>
    </row>
    <row r="150" spans="1:27" ht="15.75">
      <c r="A150" s="71"/>
      <c r="B150" s="72" t="s">
        <v>297</v>
      </c>
      <c r="C150" s="37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157"/>
      <c r="V150" s="71"/>
      <c r="W150" s="71"/>
      <c r="X150" s="71"/>
      <c r="Y150" s="71"/>
      <c r="Z150" s="71"/>
      <c r="AA150" s="71"/>
    </row>
    <row r="151" spans="1:27" ht="15.75" customHeight="1">
      <c r="A151" s="71"/>
      <c r="B151" s="986" t="s">
        <v>298</v>
      </c>
      <c r="C151" s="986"/>
      <c r="D151" s="986"/>
      <c r="E151" s="986"/>
      <c r="F151" s="986"/>
      <c r="G151" s="986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157"/>
      <c r="V151" s="71"/>
      <c r="W151" s="71"/>
      <c r="X151" s="71"/>
      <c r="Y151" s="71"/>
      <c r="Z151" s="71"/>
      <c r="AA151" s="71"/>
    </row>
    <row r="152" spans="1:27" ht="15.75">
      <c r="A152" s="28"/>
      <c r="B152" s="1" t="s">
        <v>947</v>
      </c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308"/>
      <c r="V152" s="28"/>
      <c r="W152" s="28"/>
      <c r="X152" s="28"/>
      <c r="Y152" s="28"/>
      <c r="Z152" s="28"/>
      <c r="AA152" s="28"/>
    </row>
    <row r="153" spans="1:27" ht="15.75">
      <c r="A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308"/>
      <c r="V153" s="28"/>
      <c r="W153" s="28"/>
      <c r="X153" s="28"/>
      <c r="Y153" s="28"/>
      <c r="Z153" s="28"/>
      <c r="AA153" s="28"/>
    </row>
    <row r="154" spans="1:27" ht="15.75" customHeight="1">
      <c r="A154" s="28"/>
      <c r="B154" s="901" t="s">
        <v>300</v>
      </c>
      <c r="C154" s="901"/>
      <c r="D154" s="901"/>
      <c r="E154" s="901"/>
      <c r="F154" s="901"/>
      <c r="G154" s="901"/>
      <c r="H154" s="901"/>
      <c r="I154" s="901"/>
      <c r="J154" s="901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308"/>
      <c r="V154" s="28"/>
      <c r="W154" s="28"/>
      <c r="X154" s="28"/>
      <c r="Y154" s="28"/>
      <c r="Z154" s="28"/>
      <c r="AA154" s="28"/>
    </row>
    <row r="155" spans="1:27" ht="15.75">
      <c r="A155" s="28"/>
      <c r="B155" s="13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308"/>
      <c r="V155" s="28"/>
      <c r="W155" s="28"/>
      <c r="X155" s="28"/>
      <c r="Y155" s="28"/>
      <c r="Z155" s="28"/>
      <c r="AA155" s="28"/>
    </row>
    <row r="156" spans="1:27" ht="15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308"/>
      <c r="V156" s="28"/>
      <c r="W156" s="28"/>
      <c r="X156" s="28"/>
      <c r="Y156" s="28"/>
      <c r="Z156" s="28"/>
      <c r="AA156" s="28"/>
    </row>
    <row r="157" ht="15.75">
      <c r="A157" s="14"/>
    </row>
    <row r="158" spans="1:12" ht="15.75">
      <c r="A158" s="21"/>
      <c r="C158" s="22"/>
      <c r="H158" s="23"/>
      <c r="I158" s="23"/>
      <c r="J158" s="23"/>
      <c r="K158" s="23"/>
      <c r="L158" s="23"/>
    </row>
    <row r="159" spans="4:27" ht="15.75">
      <c r="D159" s="25"/>
      <c r="H159" s="26"/>
      <c r="I159" s="26"/>
      <c r="K159" s="24"/>
      <c r="L159" s="24"/>
      <c r="M159" s="24"/>
      <c r="N159" s="24"/>
      <c r="O159" s="24"/>
      <c r="Q159" s="31"/>
      <c r="R159" s="164"/>
      <c r="S159" s="164"/>
      <c r="T159" s="164"/>
      <c r="U159" s="309"/>
      <c r="V159" s="31"/>
      <c r="W159" s="31"/>
      <c r="X159" s="31"/>
      <c r="Y159" s="31"/>
      <c r="Z159" s="31"/>
      <c r="AA159" s="31"/>
    </row>
    <row r="160" spans="1:12" ht="15.75">
      <c r="A160" s="18"/>
      <c r="D160" s="16"/>
      <c r="K160" s="16"/>
      <c r="L160" s="16"/>
    </row>
  </sheetData>
  <sheetProtection/>
  <mergeCells count="22">
    <mergeCell ref="A6:AA6"/>
    <mergeCell ref="A16:A18"/>
    <mergeCell ref="B16:B18"/>
    <mergeCell ref="C16:C18"/>
    <mergeCell ref="D16:Q16"/>
    <mergeCell ref="V16:V18"/>
    <mergeCell ref="M17:O17"/>
    <mergeCell ref="P17:Q17"/>
    <mergeCell ref="W16:Z16"/>
    <mergeCell ref="AA16:AA18"/>
    <mergeCell ref="A7:AA7"/>
    <mergeCell ref="A8:AA8"/>
    <mergeCell ref="D17:F17"/>
    <mergeCell ref="G17:I17"/>
    <mergeCell ref="R16:S17"/>
    <mergeCell ref="T16:U17"/>
    <mergeCell ref="B154:J154"/>
    <mergeCell ref="B151:G151"/>
    <mergeCell ref="W17:W18"/>
    <mergeCell ref="X17:X18"/>
    <mergeCell ref="Y17:Z17"/>
    <mergeCell ref="J17:L17"/>
  </mergeCells>
  <printOptions/>
  <pageMargins left="0" right="0" top="0.31496062992125984" bottom="0.2362204724409449" header="0" footer="0"/>
  <pageSetup fitToHeight="8" fitToWidth="1" horizontalDpi="600" verticalDpi="6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161"/>
  <sheetViews>
    <sheetView zoomScale="70" zoomScaleNormal="70" zoomScalePageLayoutView="0" workbookViewId="0" topLeftCell="A1">
      <selection activeCell="O17" sqref="O17"/>
    </sheetView>
  </sheetViews>
  <sheetFormatPr defaultColWidth="9.00390625" defaultRowHeight="15.75"/>
  <cols>
    <col min="1" max="1" width="9.125" style="1" bestFit="1" customWidth="1"/>
    <col min="2" max="2" width="36.875" style="1" bestFit="1" customWidth="1"/>
    <col min="3" max="3" width="8.875" style="1" customWidth="1"/>
    <col min="4" max="4" width="7.625" style="1" customWidth="1"/>
    <col min="5" max="5" width="9.875" style="18" customWidth="1"/>
    <col min="6" max="6" width="10.50390625" style="18" customWidth="1"/>
    <col min="7" max="7" width="7.50390625" style="18" customWidth="1"/>
    <col min="8" max="8" width="9.25390625" style="1" customWidth="1"/>
    <col min="9" max="9" width="7.625" style="1" customWidth="1"/>
    <col min="10" max="10" width="7.50390625" style="1" customWidth="1"/>
    <col min="11" max="11" width="7.875" style="1" customWidth="1"/>
    <col min="12" max="12" width="7.75390625" style="1" customWidth="1"/>
    <col min="13" max="13" width="9.00390625" style="1" customWidth="1"/>
    <col min="14" max="14" width="9.125" style="1" bestFit="1" customWidth="1"/>
    <col min="15" max="15" width="8.625" style="1" customWidth="1"/>
    <col min="16" max="16" width="8.875" style="1" customWidth="1"/>
    <col min="17" max="17" width="8.625" style="1" customWidth="1"/>
    <col min="18" max="18" width="12.125" style="1" bestFit="1" customWidth="1"/>
    <col min="19" max="19" width="7.75390625" style="1" customWidth="1"/>
    <col min="20" max="20" width="7.50390625" style="1" customWidth="1"/>
    <col min="21" max="21" width="9.375" style="1" customWidth="1"/>
    <col min="22" max="23" width="7.75390625" style="1" customWidth="1"/>
    <col min="24" max="24" width="9.125" style="1" customWidth="1"/>
    <col min="25" max="25" width="9.875" style="1" customWidth="1"/>
    <col min="26" max="26" width="16.50390625" style="1" customWidth="1"/>
    <col min="27" max="27" width="9.375" style="1" customWidth="1"/>
    <col min="28" max="28" width="9.125" style="1" bestFit="1" customWidth="1"/>
    <col min="29" max="29" width="7.25390625" style="1" customWidth="1"/>
    <col min="30" max="30" width="11.875" style="1" customWidth="1"/>
    <col min="31" max="31" width="11.50390625" style="1" customWidth="1"/>
    <col min="32" max="16384" width="9.00390625" style="1" customWidth="1"/>
  </cols>
  <sheetData>
    <row r="1" ht="15.75">
      <c r="AE1" s="4" t="s">
        <v>518</v>
      </c>
    </row>
    <row r="2" ht="15.75">
      <c r="AE2" s="4" t="s">
        <v>292</v>
      </c>
    </row>
    <row r="3" ht="15.75">
      <c r="AE3" s="4" t="s">
        <v>301</v>
      </c>
    </row>
    <row r="4" ht="15.75">
      <c r="AD4" s="4"/>
    </row>
    <row r="6" spans="1:31" ht="33" customHeight="1">
      <c r="A6" s="1020" t="s">
        <v>1027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</row>
    <row r="7" spans="1:31" ht="20.25" customHeight="1">
      <c r="A7" s="976" t="s">
        <v>979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  <c r="S7" s="976"/>
      <c r="T7" s="976"/>
      <c r="U7" s="976"/>
      <c r="V7" s="976"/>
      <c r="W7" s="976"/>
      <c r="X7" s="976"/>
      <c r="Y7" s="976"/>
      <c r="Z7" s="976"/>
      <c r="AA7" s="976"/>
      <c r="AB7" s="976"/>
      <c r="AC7" s="976"/>
      <c r="AD7" s="976"/>
      <c r="AE7" s="976"/>
    </row>
    <row r="8" spans="1:31" ht="21" customHeight="1">
      <c r="A8" s="821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"/>
      <c r="Z8" s="4"/>
      <c r="AA8" s="4"/>
      <c r="AB8" s="4"/>
      <c r="AC8" s="4"/>
      <c r="AD8" s="4"/>
      <c r="AE8" s="4" t="s">
        <v>293</v>
      </c>
    </row>
    <row r="9" spans="1:31" ht="18" customHeight="1">
      <c r="A9" s="821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"/>
      <c r="Z9" s="4"/>
      <c r="AA9" s="4"/>
      <c r="AB9" s="4"/>
      <c r="AC9" s="4"/>
      <c r="AD9" s="4"/>
      <c r="AE9" s="4" t="s">
        <v>995</v>
      </c>
    </row>
    <row r="10" spans="1:31" ht="18.75" customHeight="1">
      <c r="A10" s="821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"/>
      <c r="Z10" s="4"/>
      <c r="AA10" s="4"/>
      <c r="AB10" s="4"/>
      <c r="AC10" s="4"/>
      <c r="AD10" s="4"/>
      <c r="AE10" s="4" t="s">
        <v>569</v>
      </c>
    </row>
    <row r="11" spans="1:31" ht="20.25" customHeight="1">
      <c r="A11" s="821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270"/>
      <c r="Z11" s="270"/>
      <c r="AA11" s="270"/>
      <c r="AB11" s="1030" t="s">
        <v>997</v>
      </c>
      <c r="AC11" s="1030"/>
      <c r="AD11" s="1030"/>
      <c r="AE11" s="1030"/>
    </row>
    <row r="12" spans="1:31" ht="17.25" customHeight="1">
      <c r="A12" s="821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"/>
      <c r="Z12" s="4"/>
      <c r="AA12" s="4"/>
      <c r="AB12" s="4"/>
      <c r="AC12" s="4"/>
      <c r="AD12" s="4"/>
      <c r="AE12" s="4" t="s">
        <v>1025</v>
      </c>
    </row>
    <row r="13" spans="1:31" ht="20.25" customHeight="1">
      <c r="A13" s="821"/>
      <c r="B13" s="423"/>
      <c r="C13" s="423"/>
      <c r="D13" s="423"/>
      <c r="E13" s="423"/>
      <c r="F13" s="423"/>
      <c r="G13" s="423"/>
      <c r="H13" s="423"/>
      <c r="I13" s="423"/>
      <c r="J13" s="870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"/>
      <c r="Z13" s="4"/>
      <c r="AA13" s="4"/>
      <c r="AB13" s="4"/>
      <c r="AC13" s="4"/>
      <c r="AD13" s="4"/>
      <c r="AE13" s="4" t="s">
        <v>294</v>
      </c>
    </row>
    <row r="14" spans="1:31" ht="20.25" customHeight="1">
      <c r="A14" s="821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</row>
    <row r="15" spans="1:31" ht="22.5" customHeight="1">
      <c r="A15" s="1027" t="s">
        <v>624</v>
      </c>
      <c r="B15" s="1032" t="s">
        <v>473</v>
      </c>
      <c r="C15" s="1025" t="s">
        <v>501</v>
      </c>
      <c r="D15" s="1026"/>
      <c r="E15" s="1026"/>
      <c r="F15" s="1026"/>
      <c r="G15" s="1027"/>
      <c r="H15" s="1025" t="s">
        <v>502</v>
      </c>
      <c r="I15" s="1026"/>
      <c r="J15" s="1026"/>
      <c r="K15" s="1026"/>
      <c r="L15" s="1027"/>
      <c r="M15" s="1025" t="s">
        <v>503</v>
      </c>
      <c r="N15" s="1026"/>
      <c r="O15" s="1026"/>
      <c r="P15" s="1026"/>
      <c r="Q15" s="1027"/>
      <c r="R15" s="1025" t="s">
        <v>504</v>
      </c>
      <c r="S15" s="1026"/>
      <c r="T15" s="1026"/>
      <c r="U15" s="1026"/>
      <c r="V15" s="1027"/>
      <c r="W15" s="1022" t="s">
        <v>475</v>
      </c>
      <c r="X15" s="1023"/>
      <c r="Y15" s="1023"/>
      <c r="Z15" s="1023"/>
      <c r="AA15" s="1023"/>
      <c r="AB15" s="1023"/>
      <c r="AC15" s="1023"/>
      <c r="AD15" s="1023"/>
      <c r="AE15" s="1024"/>
    </row>
    <row r="16" spans="1:31" ht="27.75" customHeight="1">
      <c r="A16" s="1029"/>
      <c r="B16" s="970"/>
      <c r="C16" s="989"/>
      <c r="D16" s="1028"/>
      <c r="E16" s="1028"/>
      <c r="F16" s="1028"/>
      <c r="G16" s="990"/>
      <c r="H16" s="989"/>
      <c r="I16" s="1028"/>
      <c r="J16" s="1028"/>
      <c r="K16" s="1028"/>
      <c r="L16" s="990"/>
      <c r="M16" s="989"/>
      <c r="N16" s="1028"/>
      <c r="O16" s="1028"/>
      <c r="P16" s="1028"/>
      <c r="Q16" s="990"/>
      <c r="R16" s="989"/>
      <c r="S16" s="1028"/>
      <c r="T16" s="1028"/>
      <c r="U16" s="1028"/>
      <c r="V16" s="990"/>
      <c r="W16" s="1022" t="s">
        <v>476</v>
      </c>
      <c r="X16" s="1023"/>
      <c r="Y16" s="1023"/>
      <c r="Z16" s="1024"/>
      <c r="AA16" s="1022" t="s">
        <v>477</v>
      </c>
      <c r="AB16" s="1023"/>
      <c r="AC16" s="1023"/>
      <c r="AD16" s="1023"/>
      <c r="AE16" s="1024"/>
    </row>
    <row r="17" spans="1:31" ht="79.5" customHeight="1">
      <c r="A17" s="990"/>
      <c r="B17" s="971"/>
      <c r="C17" s="302" t="s">
        <v>486</v>
      </c>
      <c r="D17" s="302" t="s">
        <v>487</v>
      </c>
      <c r="E17" s="302" t="s">
        <v>488</v>
      </c>
      <c r="F17" s="302" t="s">
        <v>489</v>
      </c>
      <c r="G17" s="302" t="s">
        <v>490</v>
      </c>
      <c r="H17" s="302" t="s">
        <v>486</v>
      </c>
      <c r="I17" s="302" t="s">
        <v>487</v>
      </c>
      <c r="J17" s="302" t="s">
        <v>488</v>
      </c>
      <c r="K17" s="302" t="s">
        <v>489</v>
      </c>
      <c r="L17" s="302" t="s">
        <v>490</v>
      </c>
      <c r="M17" s="302" t="s">
        <v>486</v>
      </c>
      <c r="N17" s="302" t="s">
        <v>487</v>
      </c>
      <c r="O17" s="302" t="s">
        <v>488</v>
      </c>
      <c r="P17" s="302" t="s">
        <v>489</v>
      </c>
      <c r="Q17" s="302" t="s">
        <v>490</v>
      </c>
      <c r="R17" s="302" t="s">
        <v>486</v>
      </c>
      <c r="S17" s="302" t="s">
        <v>487</v>
      </c>
      <c r="T17" s="302" t="s">
        <v>488</v>
      </c>
      <c r="U17" s="302" t="s">
        <v>489</v>
      </c>
      <c r="V17" s="302" t="s">
        <v>490</v>
      </c>
      <c r="W17" s="310" t="s">
        <v>478</v>
      </c>
      <c r="X17" s="311" t="s">
        <v>479</v>
      </c>
      <c r="Y17" s="311" t="s">
        <v>480</v>
      </c>
      <c r="Z17" s="311" t="s">
        <v>481</v>
      </c>
      <c r="AA17" s="310" t="s">
        <v>482</v>
      </c>
      <c r="AB17" s="311" t="s">
        <v>479</v>
      </c>
      <c r="AC17" s="312" t="s">
        <v>483</v>
      </c>
      <c r="AD17" s="312" t="s">
        <v>484</v>
      </c>
      <c r="AE17" s="311" t="s">
        <v>485</v>
      </c>
    </row>
    <row r="18" spans="1:31" ht="79.5" customHeight="1">
      <c r="A18" s="221"/>
      <c r="B18" s="222" t="s">
        <v>571</v>
      </c>
      <c r="C18" s="228">
        <f aca="true" t="shared" si="0" ref="C18:K18">C19+C99+C145</f>
        <v>119.6212846</v>
      </c>
      <c r="D18" s="228">
        <f t="shared" si="0"/>
        <v>2.48744</v>
      </c>
      <c r="E18" s="228">
        <f t="shared" si="0"/>
        <v>52.41881785999999</v>
      </c>
      <c r="F18" s="228">
        <f t="shared" si="0"/>
        <v>59.53332873</v>
      </c>
      <c r="G18" s="228">
        <f t="shared" si="0"/>
        <v>5.18169801</v>
      </c>
      <c r="H18" s="228">
        <f t="shared" si="0"/>
        <v>124.29676983159997</v>
      </c>
      <c r="I18" s="228">
        <f t="shared" si="0"/>
        <v>4.109632019999999</v>
      </c>
      <c r="J18" s="228">
        <f t="shared" si="0"/>
        <v>35.861166195799996</v>
      </c>
      <c r="K18" s="228">
        <f t="shared" si="0"/>
        <v>78.97401638421998</v>
      </c>
      <c r="L18" s="228">
        <f aca="true" t="shared" si="1" ref="L18:V18">L19+L99+L145</f>
        <v>5.35195523158</v>
      </c>
      <c r="M18" s="228">
        <f t="shared" si="1"/>
        <v>4.675485231599991</v>
      </c>
      <c r="N18" s="228">
        <f t="shared" si="1"/>
        <v>1.62219202</v>
      </c>
      <c r="O18" s="228">
        <f t="shared" si="1"/>
        <v>-16.5576516642</v>
      </c>
      <c r="P18" s="228">
        <f t="shared" si="1"/>
        <v>19.44068765421999</v>
      </c>
      <c r="Q18" s="228">
        <f t="shared" si="1"/>
        <v>0.17025722157999967</v>
      </c>
      <c r="R18" s="228">
        <f t="shared" si="1"/>
        <v>124.29676983159997</v>
      </c>
      <c r="S18" s="228">
        <f t="shared" si="1"/>
        <v>4.109632019999999</v>
      </c>
      <c r="T18" s="228">
        <f t="shared" si="1"/>
        <v>35.861166195799996</v>
      </c>
      <c r="U18" s="228">
        <f t="shared" si="1"/>
        <v>78.97401638421998</v>
      </c>
      <c r="V18" s="228">
        <f t="shared" si="1"/>
        <v>5.35195523158</v>
      </c>
      <c r="W18" s="310"/>
      <c r="X18" s="311"/>
      <c r="Y18" s="311"/>
      <c r="Z18" s="311"/>
      <c r="AA18" s="310"/>
      <c r="AB18" s="311"/>
      <c r="AC18" s="312"/>
      <c r="AD18" s="312"/>
      <c r="AE18" s="311"/>
    </row>
    <row r="19" spans="1:31" ht="31.5">
      <c r="A19" s="279" t="s">
        <v>611</v>
      </c>
      <c r="B19" s="214" t="s">
        <v>181</v>
      </c>
      <c r="C19" s="289">
        <f>C20+C35+C40</f>
        <v>43.0620586</v>
      </c>
      <c r="D19" s="289">
        <f aca="true" t="shared" si="2" ref="D19:V19">D20+D35+D40</f>
        <v>1.72044</v>
      </c>
      <c r="E19" s="289">
        <f t="shared" si="2"/>
        <v>21.272647059999997</v>
      </c>
      <c r="F19" s="289">
        <f t="shared" si="2"/>
        <v>18.00189061</v>
      </c>
      <c r="G19" s="289">
        <f t="shared" si="2"/>
        <v>2.06708093</v>
      </c>
      <c r="H19" s="289">
        <f t="shared" si="2"/>
        <v>59.95755819999999</v>
      </c>
      <c r="I19" s="289">
        <f t="shared" si="2"/>
        <v>4.109632019999999</v>
      </c>
      <c r="J19" s="289">
        <f t="shared" si="2"/>
        <v>18.819269529999996</v>
      </c>
      <c r="K19" s="289">
        <f t="shared" si="2"/>
        <v>34.20765247999999</v>
      </c>
      <c r="L19" s="289">
        <f t="shared" si="2"/>
        <v>2.8210041699999997</v>
      </c>
      <c r="M19" s="289">
        <f t="shared" si="2"/>
        <v>16.8954996</v>
      </c>
      <c r="N19" s="289">
        <f t="shared" si="2"/>
        <v>2.38919202</v>
      </c>
      <c r="O19" s="289">
        <f t="shared" si="2"/>
        <v>-2.4533775300000014</v>
      </c>
      <c r="P19" s="289">
        <f t="shared" si="2"/>
        <v>16.205761869999996</v>
      </c>
      <c r="Q19" s="289">
        <f t="shared" si="2"/>
        <v>0.7539232399999998</v>
      </c>
      <c r="R19" s="289">
        <f t="shared" si="2"/>
        <v>59.95755819999999</v>
      </c>
      <c r="S19" s="289">
        <f t="shared" si="2"/>
        <v>4.109632019999999</v>
      </c>
      <c r="T19" s="289">
        <f t="shared" si="2"/>
        <v>18.819269529999996</v>
      </c>
      <c r="U19" s="289">
        <f t="shared" si="2"/>
        <v>34.20765247999999</v>
      </c>
      <c r="V19" s="289">
        <f t="shared" si="2"/>
        <v>2.8210041699999997</v>
      </c>
      <c r="W19" s="313"/>
      <c r="X19" s="313"/>
      <c r="Y19" s="313"/>
      <c r="Z19" s="313"/>
      <c r="AA19" s="313"/>
      <c r="AB19" s="313"/>
      <c r="AC19" s="313"/>
      <c r="AD19" s="313"/>
      <c r="AE19" s="313"/>
    </row>
    <row r="20" spans="1:31" s="827" customFormat="1" ht="31.5">
      <c r="A20" s="822" t="s">
        <v>612</v>
      </c>
      <c r="B20" s="823" t="s">
        <v>179</v>
      </c>
      <c r="C20" s="824">
        <f>C21+C26+C33</f>
        <v>15.117735199999998</v>
      </c>
      <c r="D20" s="824">
        <f aca="true" t="shared" si="3" ref="D20:V20">D21+D26+D33</f>
        <v>0.5722999999999999</v>
      </c>
      <c r="E20" s="824">
        <f t="shared" si="3"/>
        <v>7.2727176</v>
      </c>
      <c r="F20" s="824">
        <f t="shared" si="3"/>
        <v>6.545445839999999</v>
      </c>
      <c r="G20" s="824">
        <f t="shared" si="3"/>
        <v>0.72727176</v>
      </c>
      <c r="H20" s="824">
        <f t="shared" si="3"/>
        <v>12.400089</v>
      </c>
      <c r="I20" s="824">
        <f t="shared" si="3"/>
        <v>0</v>
      </c>
      <c r="J20" s="824">
        <f t="shared" si="3"/>
        <v>4.95934707</v>
      </c>
      <c r="K20" s="824">
        <f t="shared" si="3"/>
        <v>6.82073748</v>
      </c>
      <c r="L20" s="824">
        <f t="shared" si="3"/>
        <v>0.6200044499999999</v>
      </c>
      <c r="M20" s="824">
        <f t="shared" si="3"/>
        <v>-2.7176462</v>
      </c>
      <c r="N20" s="824">
        <f t="shared" si="3"/>
        <v>-0.5722999999999999</v>
      </c>
      <c r="O20" s="824">
        <f t="shared" si="3"/>
        <v>-2.3133705300000003</v>
      </c>
      <c r="P20" s="824">
        <f t="shared" si="3"/>
        <v>0.27529163999999995</v>
      </c>
      <c r="Q20" s="824">
        <f t="shared" si="3"/>
        <v>-0.10726731000000003</v>
      </c>
      <c r="R20" s="824">
        <f t="shared" si="3"/>
        <v>12.400089</v>
      </c>
      <c r="S20" s="824">
        <f t="shared" si="3"/>
        <v>0</v>
      </c>
      <c r="T20" s="824">
        <f t="shared" si="3"/>
        <v>4.95934707</v>
      </c>
      <c r="U20" s="824">
        <f t="shared" si="3"/>
        <v>6.82073748</v>
      </c>
      <c r="V20" s="824">
        <f t="shared" si="3"/>
        <v>0.6200044499999999</v>
      </c>
      <c r="W20" s="828"/>
      <c r="X20" s="828"/>
      <c r="Y20" s="828"/>
      <c r="Z20" s="828"/>
      <c r="AA20" s="828"/>
      <c r="AB20" s="828"/>
      <c r="AC20" s="828"/>
      <c r="AD20" s="828"/>
      <c r="AE20" s="828"/>
    </row>
    <row r="21" spans="1:31" ht="15.75">
      <c r="A21" s="278" t="s">
        <v>637</v>
      </c>
      <c r="B21" s="826" t="s">
        <v>796</v>
      </c>
      <c r="C21" s="290">
        <f>C22+C24</f>
        <v>4.2896776</v>
      </c>
      <c r="D21" s="290">
        <f aca="true" t="shared" si="4" ref="D21:V21">D22+D24</f>
        <v>0</v>
      </c>
      <c r="E21" s="290">
        <f t="shared" si="4"/>
        <v>2.1448388</v>
      </c>
      <c r="F21" s="290">
        <f t="shared" si="4"/>
        <v>1.93035492</v>
      </c>
      <c r="G21" s="290">
        <f t="shared" si="4"/>
        <v>0.21448388000000002</v>
      </c>
      <c r="H21" s="290">
        <f t="shared" si="4"/>
        <v>4.1287728</v>
      </c>
      <c r="I21" s="290">
        <f t="shared" si="4"/>
        <v>0</v>
      </c>
      <c r="J21" s="290">
        <f t="shared" si="4"/>
        <v>2.0643864</v>
      </c>
      <c r="K21" s="290">
        <f t="shared" si="4"/>
        <v>1.85794776</v>
      </c>
      <c r="L21" s="290">
        <f t="shared" si="4"/>
        <v>0.20643864</v>
      </c>
      <c r="M21" s="290">
        <f t="shared" si="4"/>
        <v>-0.16090479999999996</v>
      </c>
      <c r="N21" s="290">
        <f t="shared" si="4"/>
        <v>0</v>
      </c>
      <c r="O21" s="290">
        <f t="shared" si="4"/>
        <v>-0.08045239999999998</v>
      </c>
      <c r="P21" s="290">
        <f t="shared" si="4"/>
        <v>-0.07240716000000003</v>
      </c>
      <c r="Q21" s="290">
        <f t="shared" si="4"/>
        <v>-0.008045240000000009</v>
      </c>
      <c r="R21" s="290">
        <f t="shared" si="4"/>
        <v>4.1287728</v>
      </c>
      <c r="S21" s="290">
        <f t="shared" si="4"/>
        <v>0</v>
      </c>
      <c r="T21" s="290">
        <f t="shared" si="4"/>
        <v>2.0643864</v>
      </c>
      <c r="U21" s="290">
        <f t="shared" si="4"/>
        <v>1.85794776</v>
      </c>
      <c r="V21" s="290">
        <f t="shared" si="4"/>
        <v>0.20643864</v>
      </c>
      <c r="W21" s="314"/>
      <c r="X21" s="314"/>
      <c r="Y21" s="314"/>
      <c r="Z21" s="314"/>
      <c r="AA21" s="314"/>
      <c r="AB21" s="314"/>
      <c r="AC21" s="314"/>
      <c r="AD21" s="314"/>
      <c r="AE21" s="314"/>
    </row>
    <row r="22" spans="1:31" s="16" customFormat="1" ht="40.5" customHeight="1">
      <c r="A22" s="841" t="s">
        <v>886</v>
      </c>
      <c r="B22" s="867" t="str">
        <f>'приложение 7.1'!B23</f>
        <v>г.Чебоксары</v>
      </c>
      <c r="C22" s="227">
        <f>'приложение 7.1'!D24</f>
        <v>0</v>
      </c>
      <c r="D22" s="227">
        <f>'приложение 7.1'!E24</f>
        <v>0</v>
      </c>
      <c r="E22" s="227">
        <f>C22*0.5</f>
        <v>0</v>
      </c>
      <c r="F22" s="227">
        <f>C22*0.45</f>
        <v>0</v>
      </c>
      <c r="G22" s="227">
        <f>C22*0.05</f>
        <v>0</v>
      </c>
      <c r="H22" s="227">
        <f>'приложение 7.1'!E24</f>
        <v>0</v>
      </c>
      <c r="I22" s="227">
        <f>'приложение 7.1'!M24</f>
        <v>0</v>
      </c>
      <c r="J22" s="227">
        <f>H22*0.5</f>
        <v>0</v>
      </c>
      <c r="K22" s="227">
        <f>H22*0.45</f>
        <v>0</v>
      </c>
      <c r="L22" s="227">
        <f>H22*0.05</f>
        <v>0</v>
      </c>
      <c r="M22" s="227">
        <f>H22-C22</f>
        <v>0</v>
      </c>
      <c r="N22" s="227">
        <f>I22-D22</f>
        <v>0</v>
      </c>
      <c r="O22" s="227">
        <f>J22-E22</f>
        <v>0</v>
      </c>
      <c r="P22" s="227">
        <f>K22-F22</f>
        <v>0</v>
      </c>
      <c r="Q22" s="227">
        <f>L22-G22</f>
        <v>0</v>
      </c>
      <c r="R22" s="227">
        <f>SUM(S22:V22)</f>
        <v>0</v>
      </c>
      <c r="S22" s="227">
        <f>I22</f>
        <v>0</v>
      </c>
      <c r="T22" s="227">
        <f>J22</f>
        <v>0</v>
      </c>
      <c r="U22" s="227">
        <f>K22</f>
        <v>0</v>
      </c>
      <c r="V22" s="227">
        <f>L22</f>
        <v>0</v>
      </c>
      <c r="W22" s="156"/>
      <c r="X22" s="156"/>
      <c r="Y22" s="156"/>
      <c r="Z22" s="156"/>
      <c r="AA22" s="27"/>
      <c r="AB22" s="27"/>
      <c r="AC22" s="27"/>
      <c r="AD22" s="27"/>
      <c r="AE22" s="227"/>
    </row>
    <row r="23" spans="1:31" ht="20.25" customHeight="1">
      <c r="A23" s="19"/>
      <c r="B23" s="206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156"/>
      <c r="X23" s="156"/>
      <c r="Y23" s="156"/>
      <c r="Z23" s="156"/>
      <c r="AA23" s="6"/>
      <c r="AB23" s="6"/>
      <c r="AC23" s="6"/>
      <c r="AD23" s="6"/>
      <c r="AE23" s="229"/>
    </row>
    <row r="24" spans="1:31" s="16" customFormat="1" ht="16.5" customHeight="1">
      <c r="A24" s="841" t="s">
        <v>887</v>
      </c>
      <c r="B24" s="867" t="str">
        <f>'приложение 7.1'!B25</f>
        <v>г.Мариинский Посад</v>
      </c>
      <c r="C24" s="227">
        <f aca="true" t="shared" si="5" ref="C24:I24">C25</f>
        <v>4.2896776</v>
      </c>
      <c r="D24" s="227">
        <f t="shared" si="5"/>
        <v>0</v>
      </c>
      <c r="E24" s="227">
        <f t="shared" si="5"/>
        <v>2.1448388</v>
      </c>
      <c r="F24" s="227">
        <f t="shared" si="5"/>
        <v>1.93035492</v>
      </c>
      <c r="G24" s="227">
        <f t="shared" si="5"/>
        <v>0.21448388000000002</v>
      </c>
      <c r="H24" s="227">
        <f t="shared" si="5"/>
        <v>4.1287728</v>
      </c>
      <c r="I24" s="227">
        <f t="shared" si="5"/>
        <v>0</v>
      </c>
      <c r="J24" s="227">
        <f aca="true" t="shared" si="6" ref="J24:V24">J25</f>
        <v>2.0643864</v>
      </c>
      <c r="K24" s="227">
        <f t="shared" si="6"/>
        <v>1.85794776</v>
      </c>
      <c r="L24" s="227">
        <f t="shared" si="6"/>
        <v>0.20643864</v>
      </c>
      <c r="M24" s="227">
        <f t="shared" si="6"/>
        <v>-0.16090479999999996</v>
      </c>
      <c r="N24" s="227">
        <f t="shared" si="6"/>
        <v>0</v>
      </c>
      <c r="O24" s="227">
        <f t="shared" si="6"/>
        <v>-0.08045239999999998</v>
      </c>
      <c r="P24" s="227">
        <f t="shared" si="6"/>
        <v>-0.07240716000000003</v>
      </c>
      <c r="Q24" s="227">
        <f t="shared" si="6"/>
        <v>-0.008045240000000009</v>
      </c>
      <c r="R24" s="227">
        <f t="shared" si="6"/>
        <v>4.1287728</v>
      </c>
      <c r="S24" s="227">
        <f t="shared" si="6"/>
        <v>0</v>
      </c>
      <c r="T24" s="227">
        <f t="shared" si="6"/>
        <v>2.0643864</v>
      </c>
      <c r="U24" s="227">
        <f t="shared" si="6"/>
        <v>1.85794776</v>
      </c>
      <c r="V24" s="227">
        <f t="shared" si="6"/>
        <v>0.20643864</v>
      </c>
      <c r="W24" s="156"/>
      <c r="X24" s="156"/>
      <c r="Y24" s="156"/>
      <c r="Z24" s="156"/>
      <c r="AA24" s="27"/>
      <c r="AB24" s="27"/>
      <c r="AC24" s="27"/>
      <c r="AD24" s="27"/>
      <c r="AE24" s="227"/>
    </row>
    <row r="25" spans="1:31" ht="40.5" customHeight="1">
      <c r="A25" s="19">
        <v>1</v>
      </c>
      <c r="B25" s="866" t="str">
        <f>'приложение 7.1'!B26</f>
        <v>Реконструкция ВЛ-0,4 кВ с заменой на СИП, с установкой КТПК №5 </v>
      </c>
      <c r="C25" s="229">
        <f>'приложение 7.1'!D26</f>
        <v>4.2896776</v>
      </c>
      <c r="D25" s="229"/>
      <c r="E25" s="229">
        <f>C25*0.5</f>
        <v>2.1448388</v>
      </c>
      <c r="F25" s="229">
        <f>C25*0.45</f>
        <v>1.93035492</v>
      </c>
      <c r="G25" s="229">
        <f>C25*0.05</f>
        <v>0.21448388000000002</v>
      </c>
      <c r="H25" s="229">
        <f>'приложение 7.1'!E26</f>
        <v>4.1287728</v>
      </c>
      <c r="I25" s="229"/>
      <c r="J25" s="229">
        <f>H25*0.5</f>
        <v>2.0643864</v>
      </c>
      <c r="K25" s="229">
        <f>H25*0.45</f>
        <v>1.85794776</v>
      </c>
      <c r="L25" s="229">
        <f>H25*0.05</f>
        <v>0.20643864</v>
      </c>
      <c r="M25" s="229">
        <f>H25-C25</f>
        <v>-0.16090479999999996</v>
      </c>
      <c r="N25" s="229">
        <f>I25-D25</f>
        <v>0</v>
      </c>
      <c r="O25" s="229">
        <f>J25-E25</f>
        <v>-0.08045239999999998</v>
      </c>
      <c r="P25" s="229">
        <f>K25-F25</f>
        <v>-0.07240716000000003</v>
      </c>
      <c r="Q25" s="229">
        <f>L25-G25</f>
        <v>-0.008045240000000009</v>
      </c>
      <c r="R25" s="229">
        <f>SUM(S25:V25)</f>
        <v>4.1287728</v>
      </c>
      <c r="S25" s="229">
        <f>I25</f>
        <v>0</v>
      </c>
      <c r="T25" s="229">
        <f>J25</f>
        <v>2.0643864</v>
      </c>
      <c r="U25" s="229">
        <f>K25</f>
        <v>1.85794776</v>
      </c>
      <c r="V25" s="229">
        <f>L25</f>
        <v>0.20643864</v>
      </c>
      <c r="W25" s="156"/>
      <c r="X25" s="156"/>
      <c r="Y25" s="156"/>
      <c r="Z25" s="156"/>
      <c r="AA25" s="6">
        <v>2014</v>
      </c>
      <c r="AB25" s="6">
        <v>10</v>
      </c>
      <c r="AC25" s="6" t="s">
        <v>808</v>
      </c>
      <c r="AD25" s="6" t="s">
        <v>809</v>
      </c>
      <c r="AE25" s="229" t="s">
        <v>909</v>
      </c>
    </row>
    <row r="26" spans="1:31" ht="15.75">
      <c r="A26" s="278" t="s">
        <v>650</v>
      </c>
      <c r="B26" s="826" t="str">
        <f>'приложение 7.1'!B27</f>
        <v>КЛ-0,4 кВ </v>
      </c>
      <c r="C26" s="290">
        <f aca="true" t="shared" si="7" ref="C26:V26">SUM(C28:C32)</f>
        <v>10.8280576</v>
      </c>
      <c r="D26" s="290">
        <f t="shared" si="7"/>
        <v>0.5722999999999999</v>
      </c>
      <c r="E26" s="290">
        <f t="shared" si="7"/>
        <v>5.1278787999999995</v>
      </c>
      <c r="F26" s="290">
        <f t="shared" si="7"/>
        <v>4.615090919999999</v>
      </c>
      <c r="G26" s="290">
        <f t="shared" si="7"/>
        <v>0.51278788</v>
      </c>
      <c r="H26" s="290">
        <f t="shared" si="7"/>
        <v>8.2713162</v>
      </c>
      <c r="I26" s="290">
        <f t="shared" si="7"/>
        <v>0</v>
      </c>
      <c r="J26" s="290">
        <f t="shared" si="7"/>
        <v>2.8949606699999992</v>
      </c>
      <c r="K26" s="290">
        <f t="shared" si="7"/>
        <v>4.96278972</v>
      </c>
      <c r="L26" s="290">
        <f t="shared" si="7"/>
        <v>0.4135658099999999</v>
      </c>
      <c r="M26" s="290">
        <f t="shared" si="7"/>
        <v>-2.5567414</v>
      </c>
      <c r="N26" s="290">
        <f t="shared" si="7"/>
        <v>-0.5722999999999999</v>
      </c>
      <c r="O26" s="290">
        <f t="shared" si="7"/>
        <v>-2.2329181300000003</v>
      </c>
      <c r="P26" s="290">
        <f t="shared" si="7"/>
        <v>0.3476988</v>
      </c>
      <c r="Q26" s="290">
        <f t="shared" si="7"/>
        <v>-0.09922207000000002</v>
      </c>
      <c r="R26" s="290">
        <f t="shared" si="7"/>
        <v>8.2713162</v>
      </c>
      <c r="S26" s="290">
        <f t="shared" si="7"/>
        <v>0</v>
      </c>
      <c r="T26" s="290">
        <f t="shared" si="7"/>
        <v>2.8949606699999992</v>
      </c>
      <c r="U26" s="290">
        <f t="shared" si="7"/>
        <v>4.96278972</v>
      </c>
      <c r="V26" s="290">
        <f t="shared" si="7"/>
        <v>0.4135658099999999</v>
      </c>
      <c r="W26" s="275"/>
      <c r="X26" s="275"/>
      <c r="Y26" s="275"/>
      <c r="Z26" s="275"/>
      <c r="AA26" s="275"/>
      <c r="AB26" s="275"/>
      <c r="AC26" s="275"/>
      <c r="AD26" s="275"/>
      <c r="AE26" s="275"/>
    </row>
    <row r="27" spans="1:31" s="16" customFormat="1" ht="30.75" customHeight="1">
      <c r="A27" s="841" t="s">
        <v>888</v>
      </c>
      <c r="B27" s="867" t="str">
        <f>'приложение 7.1'!B28</f>
        <v>г.Чебоксары</v>
      </c>
      <c r="C27" s="227">
        <f>SUM(C28:C32)</f>
        <v>10.8280576</v>
      </c>
      <c r="D27" s="227">
        <f>SUM(D28:D32)</f>
        <v>0.5722999999999999</v>
      </c>
      <c r="E27" s="227">
        <f>E28</f>
        <v>1.4231684999999998</v>
      </c>
      <c r="F27" s="227">
        <f>F28</f>
        <v>1.2808516499999998</v>
      </c>
      <c r="G27" s="227">
        <f>G28</f>
        <v>0.14231685</v>
      </c>
      <c r="H27" s="227">
        <f>H28</f>
        <v>2.1758138</v>
      </c>
      <c r="I27" s="227">
        <f>SUM(I28:I32)</f>
        <v>0</v>
      </c>
      <c r="J27" s="227">
        <f aca="true" t="shared" si="8" ref="J27:V27">J28</f>
        <v>0.7615348299999999</v>
      </c>
      <c r="K27" s="227">
        <f t="shared" si="8"/>
        <v>1.3054882799999998</v>
      </c>
      <c r="L27" s="227">
        <f t="shared" si="8"/>
        <v>0.10879069</v>
      </c>
      <c r="M27" s="227">
        <f t="shared" si="8"/>
        <v>-0.6705231999999999</v>
      </c>
      <c r="N27" s="227">
        <f t="shared" si="8"/>
        <v>0</v>
      </c>
      <c r="O27" s="227">
        <f t="shared" si="8"/>
        <v>-0.66163367</v>
      </c>
      <c r="P27" s="227">
        <f t="shared" si="8"/>
        <v>0.024636630000000048</v>
      </c>
      <c r="Q27" s="227">
        <f t="shared" si="8"/>
        <v>-0.03352616</v>
      </c>
      <c r="R27" s="227">
        <f t="shared" si="8"/>
        <v>2.1758138</v>
      </c>
      <c r="S27" s="227">
        <f t="shared" si="8"/>
        <v>0</v>
      </c>
      <c r="T27" s="227">
        <f t="shared" si="8"/>
        <v>0.7615348299999999</v>
      </c>
      <c r="U27" s="227">
        <f t="shared" si="8"/>
        <v>1.3054882799999998</v>
      </c>
      <c r="V27" s="227">
        <f t="shared" si="8"/>
        <v>0.10879069</v>
      </c>
      <c r="W27" s="156"/>
      <c r="X27" s="156"/>
      <c r="Y27" s="156"/>
      <c r="Z27" s="156"/>
      <c r="AA27" s="27"/>
      <c r="AB27" s="27"/>
      <c r="AC27" s="27"/>
      <c r="AD27" s="27"/>
      <c r="AE27" s="227"/>
    </row>
    <row r="28" spans="1:31" ht="15.75">
      <c r="A28" s="19">
        <v>1</v>
      </c>
      <c r="B28" s="446" t="str">
        <f>'приложение 7.1'!B29</f>
        <v>ТП-310 ул.Шумилова,13Б</v>
      </c>
      <c r="C28" s="229">
        <f>'приложение 7.1'!D29</f>
        <v>2.8463369999999997</v>
      </c>
      <c r="D28" s="229"/>
      <c r="E28" s="229">
        <f>C28*0.5</f>
        <v>1.4231684999999998</v>
      </c>
      <c r="F28" s="229">
        <f>C28*0.45</f>
        <v>1.2808516499999998</v>
      </c>
      <c r="G28" s="229">
        <f>C28*0.05</f>
        <v>0.14231685</v>
      </c>
      <c r="H28" s="229">
        <f>'приложение 7.1'!E29</f>
        <v>2.1758138</v>
      </c>
      <c r="I28" s="229"/>
      <c r="J28" s="229">
        <f>H28*0.35</f>
        <v>0.7615348299999999</v>
      </c>
      <c r="K28" s="229">
        <f>H28*0.6</f>
        <v>1.3054882799999998</v>
      </c>
      <c r="L28" s="229">
        <f>H28*0.05</f>
        <v>0.10879069</v>
      </c>
      <c r="M28" s="229">
        <f aca="true" t="shared" si="9" ref="M28:Q32">H28-C28</f>
        <v>-0.6705231999999999</v>
      </c>
      <c r="N28" s="229">
        <f t="shared" si="9"/>
        <v>0</v>
      </c>
      <c r="O28" s="229">
        <f t="shared" si="9"/>
        <v>-0.66163367</v>
      </c>
      <c r="P28" s="229">
        <f t="shared" si="9"/>
        <v>0.024636630000000048</v>
      </c>
      <c r="Q28" s="229">
        <f t="shared" si="9"/>
        <v>-0.03352616</v>
      </c>
      <c r="R28" s="229">
        <f>SUM(S28:V28)</f>
        <v>2.1758138</v>
      </c>
      <c r="S28" s="229">
        <f aca="true" t="shared" si="10" ref="S28:V32">I28</f>
        <v>0</v>
      </c>
      <c r="T28" s="229">
        <f t="shared" si="10"/>
        <v>0.7615348299999999</v>
      </c>
      <c r="U28" s="229">
        <f t="shared" si="10"/>
        <v>1.3054882799999998</v>
      </c>
      <c r="V28" s="229">
        <f t="shared" si="10"/>
        <v>0.10879069</v>
      </c>
      <c r="W28" s="6"/>
      <c r="X28" s="6"/>
      <c r="Y28" s="6"/>
      <c r="Z28" s="6"/>
      <c r="AA28" s="6">
        <v>2014</v>
      </c>
      <c r="AB28" s="6">
        <v>30</v>
      </c>
      <c r="AC28" s="6" t="s">
        <v>598</v>
      </c>
      <c r="AD28" s="6" t="s">
        <v>807</v>
      </c>
      <c r="AE28" s="76" t="s">
        <v>910</v>
      </c>
    </row>
    <row r="29" spans="1:31" ht="15.75">
      <c r="A29" s="19">
        <v>2</v>
      </c>
      <c r="B29" s="446" t="str">
        <f>'приложение 7.1'!B30</f>
        <v>ТП-341 б-р Эгерский,18А</v>
      </c>
      <c r="C29" s="229">
        <f>'приложение 7.1'!D30</f>
        <v>4.013062</v>
      </c>
      <c r="D29" s="229"/>
      <c r="E29" s="229">
        <f>C29*0.5</f>
        <v>2.006531</v>
      </c>
      <c r="F29" s="229">
        <f>C29*0.45</f>
        <v>1.8058778999999998</v>
      </c>
      <c r="G29" s="229">
        <f>C29*0.05</f>
        <v>0.2006531</v>
      </c>
      <c r="H29" s="229">
        <f>'приложение 7.1'!E30</f>
        <v>2.9555105999999998</v>
      </c>
      <c r="I29" s="229"/>
      <c r="J29" s="229">
        <f>H29*0.35</f>
        <v>1.0344287099999998</v>
      </c>
      <c r="K29" s="229">
        <f>H29*0.6</f>
        <v>1.7733063599999999</v>
      </c>
      <c r="L29" s="229">
        <f>H29*0.05</f>
        <v>0.14777553</v>
      </c>
      <c r="M29" s="229">
        <f t="shared" si="9"/>
        <v>-1.0575514</v>
      </c>
      <c r="N29" s="229">
        <f t="shared" si="9"/>
        <v>0</v>
      </c>
      <c r="O29" s="229">
        <f t="shared" si="9"/>
        <v>-0.97210229</v>
      </c>
      <c r="P29" s="229">
        <f t="shared" si="9"/>
        <v>-0.032571539999999954</v>
      </c>
      <c r="Q29" s="229">
        <f t="shared" si="9"/>
        <v>-0.05287757000000001</v>
      </c>
      <c r="R29" s="229">
        <f>SUM(S29:V29)</f>
        <v>2.9555105999999998</v>
      </c>
      <c r="S29" s="229">
        <f t="shared" si="10"/>
        <v>0</v>
      </c>
      <c r="T29" s="229">
        <f t="shared" si="10"/>
        <v>1.0344287099999998</v>
      </c>
      <c r="U29" s="229">
        <f t="shared" si="10"/>
        <v>1.7733063599999999</v>
      </c>
      <c r="V29" s="229">
        <f t="shared" si="10"/>
        <v>0.14777553</v>
      </c>
      <c r="W29" s="6"/>
      <c r="X29" s="6"/>
      <c r="Y29" s="6"/>
      <c r="Z29" s="6"/>
      <c r="AA29" s="6">
        <v>2014</v>
      </c>
      <c r="AB29" s="6">
        <v>30</v>
      </c>
      <c r="AC29" s="6" t="s">
        <v>598</v>
      </c>
      <c r="AD29" s="6" t="s">
        <v>807</v>
      </c>
      <c r="AE29" s="76" t="s">
        <v>911</v>
      </c>
    </row>
    <row r="30" spans="1:31" ht="15.75">
      <c r="A30" s="19">
        <v>3</v>
      </c>
      <c r="B30" s="446" t="str">
        <f>'приложение 7.1'!B31</f>
        <v>ТП-342 ул.Л.Комсомола,36А</v>
      </c>
      <c r="C30" s="229">
        <f>'приложение 7.1'!D31</f>
        <v>3.3963586</v>
      </c>
      <c r="D30" s="229"/>
      <c r="E30" s="229">
        <f>C30*0.5</f>
        <v>1.6981793</v>
      </c>
      <c r="F30" s="229">
        <f>C30*0.45</f>
        <v>1.52836137</v>
      </c>
      <c r="G30" s="229">
        <f>C30*0.05</f>
        <v>0.16981793</v>
      </c>
      <c r="H30" s="229">
        <f>'приложение 7.1'!E31</f>
        <v>2.9197802</v>
      </c>
      <c r="I30" s="229"/>
      <c r="J30" s="229">
        <f>H30*0.35</f>
        <v>1.02192307</v>
      </c>
      <c r="K30" s="229">
        <f>H30*0.6</f>
        <v>1.75186812</v>
      </c>
      <c r="L30" s="229">
        <f>H30*0.05</f>
        <v>0.14598901</v>
      </c>
      <c r="M30" s="229">
        <f t="shared" si="9"/>
        <v>-0.4765784000000002</v>
      </c>
      <c r="N30" s="229">
        <f t="shared" si="9"/>
        <v>0</v>
      </c>
      <c r="O30" s="229">
        <f t="shared" si="9"/>
        <v>-0.6762562300000001</v>
      </c>
      <c r="P30" s="229">
        <f t="shared" si="9"/>
        <v>0.22350674999999987</v>
      </c>
      <c r="Q30" s="229">
        <f t="shared" si="9"/>
        <v>-0.023828920000000003</v>
      </c>
      <c r="R30" s="229">
        <f>SUM(S30:V30)</f>
        <v>2.9197802</v>
      </c>
      <c r="S30" s="229">
        <f t="shared" si="10"/>
        <v>0</v>
      </c>
      <c r="T30" s="229">
        <f t="shared" si="10"/>
        <v>1.02192307</v>
      </c>
      <c r="U30" s="229">
        <f t="shared" si="10"/>
        <v>1.75186812</v>
      </c>
      <c r="V30" s="229">
        <f t="shared" si="10"/>
        <v>0.14598901</v>
      </c>
      <c r="W30" s="6"/>
      <c r="X30" s="6"/>
      <c r="Y30" s="6"/>
      <c r="Z30" s="6"/>
      <c r="AA30" s="6">
        <v>2014</v>
      </c>
      <c r="AB30" s="6">
        <v>30</v>
      </c>
      <c r="AC30" s="6" t="s">
        <v>598</v>
      </c>
      <c r="AD30" s="6" t="s">
        <v>807</v>
      </c>
      <c r="AE30" s="76" t="s">
        <v>912</v>
      </c>
    </row>
    <row r="31" spans="1:31" ht="31.5">
      <c r="A31" s="19">
        <v>4</v>
      </c>
      <c r="B31" s="446" t="str">
        <f>'приложение 7.1'!B32</f>
        <v>ТП-66 ул. Ленина, 16б, г.Чебоксары (разработка рабочей документации)</v>
      </c>
      <c r="C31" s="229">
        <f>'приложение 7.1'!D32</f>
        <v>0.34691999999999995</v>
      </c>
      <c r="D31" s="229">
        <f>C31</f>
        <v>0.34691999999999995</v>
      </c>
      <c r="E31" s="229">
        <v>0</v>
      </c>
      <c r="F31" s="229">
        <v>0</v>
      </c>
      <c r="G31" s="229">
        <v>0</v>
      </c>
      <c r="H31" s="229">
        <f>'приложение 7.1'!E32</f>
        <v>0.13276179999999999</v>
      </c>
      <c r="I31" s="229"/>
      <c r="J31" s="229">
        <f>H31*0.35</f>
        <v>0.046466629999999995</v>
      </c>
      <c r="K31" s="229">
        <f>H31*0.6</f>
        <v>0.07965707999999999</v>
      </c>
      <c r="L31" s="229">
        <f>H31*0.05</f>
        <v>0.006638089999999999</v>
      </c>
      <c r="M31" s="229">
        <f t="shared" si="9"/>
        <v>-0.21415819999999997</v>
      </c>
      <c r="N31" s="229">
        <f t="shared" si="9"/>
        <v>-0.34691999999999995</v>
      </c>
      <c r="O31" s="229">
        <f t="shared" si="9"/>
        <v>0.046466629999999995</v>
      </c>
      <c r="P31" s="229">
        <f t="shared" si="9"/>
        <v>0.07965707999999999</v>
      </c>
      <c r="Q31" s="229">
        <f t="shared" si="9"/>
        <v>0.006638089999999999</v>
      </c>
      <c r="R31" s="229">
        <f>SUM(S31:V31)</f>
        <v>0.13276179999999999</v>
      </c>
      <c r="S31" s="229">
        <f t="shared" si="10"/>
        <v>0</v>
      </c>
      <c r="T31" s="229">
        <f t="shared" si="10"/>
        <v>0.046466629999999995</v>
      </c>
      <c r="U31" s="229">
        <f t="shared" si="10"/>
        <v>0.07965707999999999</v>
      </c>
      <c r="V31" s="229">
        <f t="shared" si="10"/>
        <v>0.006638089999999999</v>
      </c>
      <c r="W31" s="6"/>
      <c r="X31" s="6"/>
      <c r="Y31" s="6"/>
      <c r="Z31" s="6"/>
      <c r="AA31" s="6"/>
      <c r="AB31" s="6">
        <v>30</v>
      </c>
      <c r="AC31" s="6" t="s">
        <v>598</v>
      </c>
      <c r="AD31" s="6" t="s">
        <v>807</v>
      </c>
      <c r="AE31" s="76" t="s">
        <v>913</v>
      </c>
    </row>
    <row r="32" spans="1:31" ht="31.5">
      <c r="A32" s="19">
        <v>5</v>
      </c>
      <c r="B32" s="446" t="str">
        <f>'приложение 7.1'!B33</f>
        <v>ТП-260 ул. Гагарина, 15б, г.Чебоксары (разработка рабочей документации)</v>
      </c>
      <c r="C32" s="229">
        <f>'приложение 7.1'!D33</f>
        <v>0.22538</v>
      </c>
      <c r="D32" s="229">
        <f>C32</f>
        <v>0.22538</v>
      </c>
      <c r="E32" s="229">
        <v>0</v>
      </c>
      <c r="F32" s="229">
        <v>0</v>
      </c>
      <c r="G32" s="229">
        <v>0</v>
      </c>
      <c r="H32" s="229">
        <f>'приложение 7.1'!E33</f>
        <v>0.0874498</v>
      </c>
      <c r="I32" s="229"/>
      <c r="J32" s="229">
        <f>H32*0.35</f>
        <v>0.030607429999999995</v>
      </c>
      <c r="K32" s="229">
        <f>H32*0.6</f>
        <v>0.052469879999999997</v>
      </c>
      <c r="L32" s="229">
        <f>H32*0.05</f>
        <v>0.00437249</v>
      </c>
      <c r="M32" s="229">
        <f t="shared" si="9"/>
        <v>-0.1379302</v>
      </c>
      <c r="N32" s="229">
        <f t="shared" si="9"/>
        <v>-0.22538</v>
      </c>
      <c r="O32" s="229">
        <f t="shared" si="9"/>
        <v>0.030607429999999995</v>
      </c>
      <c r="P32" s="229">
        <f t="shared" si="9"/>
        <v>0.052469879999999997</v>
      </c>
      <c r="Q32" s="229">
        <f t="shared" si="9"/>
        <v>0.00437249</v>
      </c>
      <c r="R32" s="229">
        <f>SUM(S32:V32)</f>
        <v>0.0874498</v>
      </c>
      <c r="S32" s="229">
        <f t="shared" si="10"/>
        <v>0</v>
      </c>
      <c r="T32" s="229">
        <f t="shared" si="10"/>
        <v>0.030607429999999995</v>
      </c>
      <c r="U32" s="229">
        <f t="shared" si="10"/>
        <v>0.052469879999999997</v>
      </c>
      <c r="V32" s="229">
        <f t="shared" si="10"/>
        <v>0.00437249</v>
      </c>
      <c r="W32" s="6"/>
      <c r="X32" s="6"/>
      <c r="Y32" s="6"/>
      <c r="Z32" s="6"/>
      <c r="AA32" s="6"/>
      <c r="AB32" s="6">
        <v>30</v>
      </c>
      <c r="AC32" s="6" t="s">
        <v>598</v>
      </c>
      <c r="AD32" s="6" t="s">
        <v>807</v>
      </c>
      <c r="AE32" s="76" t="s">
        <v>914</v>
      </c>
    </row>
    <row r="33" spans="1:31" ht="15.75">
      <c r="A33" s="278" t="s">
        <v>654</v>
      </c>
      <c r="B33" s="826" t="str">
        <f>'приложение 7.1'!B34</f>
        <v>ТП-6-10/0.4 кВ</v>
      </c>
      <c r="C33" s="290">
        <f>SUM(C34)</f>
        <v>0</v>
      </c>
      <c r="D33" s="290">
        <f aca="true" t="shared" si="11" ref="D33:V33">SUM(D34)</f>
        <v>0</v>
      </c>
      <c r="E33" s="290">
        <f t="shared" si="11"/>
        <v>0</v>
      </c>
      <c r="F33" s="290">
        <f t="shared" si="11"/>
        <v>0</v>
      </c>
      <c r="G33" s="290">
        <f t="shared" si="11"/>
        <v>0</v>
      </c>
      <c r="H33" s="290">
        <f t="shared" si="11"/>
        <v>0</v>
      </c>
      <c r="I33" s="290">
        <f t="shared" si="11"/>
        <v>0</v>
      </c>
      <c r="J33" s="290">
        <f t="shared" si="11"/>
        <v>0</v>
      </c>
      <c r="K33" s="290">
        <f t="shared" si="11"/>
        <v>0</v>
      </c>
      <c r="L33" s="290">
        <f t="shared" si="11"/>
        <v>0</v>
      </c>
      <c r="M33" s="290">
        <f t="shared" si="11"/>
        <v>0</v>
      </c>
      <c r="N33" s="290">
        <f t="shared" si="11"/>
        <v>0</v>
      </c>
      <c r="O33" s="290">
        <f t="shared" si="11"/>
        <v>0</v>
      </c>
      <c r="P33" s="290">
        <f t="shared" si="11"/>
        <v>0</v>
      </c>
      <c r="Q33" s="290">
        <f t="shared" si="11"/>
        <v>0</v>
      </c>
      <c r="R33" s="290">
        <f t="shared" si="11"/>
        <v>0</v>
      </c>
      <c r="S33" s="290">
        <f t="shared" si="11"/>
        <v>0</v>
      </c>
      <c r="T33" s="290">
        <f t="shared" si="11"/>
        <v>0</v>
      </c>
      <c r="U33" s="290">
        <f t="shared" si="11"/>
        <v>0</v>
      </c>
      <c r="V33" s="290">
        <f t="shared" si="11"/>
        <v>0</v>
      </c>
      <c r="W33" s="275"/>
      <c r="X33" s="275"/>
      <c r="Y33" s="275"/>
      <c r="Z33" s="275"/>
      <c r="AA33" s="275"/>
      <c r="AB33" s="275"/>
      <c r="AC33" s="275"/>
      <c r="AD33" s="275"/>
      <c r="AE33" s="275"/>
    </row>
    <row r="34" spans="1:31" ht="20.25" customHeight="1">
      <c r="A34" s="19"/>
      <c r="B34" s="446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6"/>
      <c r="X34" s="6"/>
      <c r="Y34" s="6"/>
      <c r="Z34" s="76"/>
      <c r="AA34" s="6"/>
      <c r="AB34" s="6"/>
      <c r="AC34" s="6"/>
      <c r="AD34" s="6"/>
      <c r="AE34" s="76"/>
    </row>
    <row r="35" spans="1:31" s="827" customFormat="1" ht="39.75" customHeight="1">
      <c r="A35" s="822" t="s">
        <v>613</v>
      </c>
      <c r="B35" s="823" t="str">
        <f>'приложение 7.1'!B36</f>
        <v>Создание систем телеуправления и сигнализации</v>
      </c>
      <c r="C35" s="824">
        <f>C36</f>
        <v>3.0091888</v>
      </c>
      <c r="D35" s="824">
        <f aca="true" t="shared" si="12" ref="D35:V35">D36</f>
        <v>0</v>
      </c>
      <c r="E35" s="824">
        <f t="shared" si="12"/>
        <v>2.1064321599999998</v>
      </c>
      <c r="F35" s="824">
        <f t="shared" si="12"/>
        <v>0.7522972</v>
      </c>
      <c r="G35" s="824">
        <f t="shared" si="12"/>
        <v>0.15045944</v>
      </c>
      <c r="H35" s="824">
        <f t="shared" si="12"/>
        <v>3.0185462</v>
      </c>
      <c r="I35" s="824">
        <f t="shared" si="12"/>
        <v>0</v>
      </c>
      <c r="J35" s="824">
        <f t="shared" si="12"/>
        <v>1.0564911699999997</v>
      </c>
      <c r="K35" s="824">
        <f t="shared" si="12"/>
        <v>1.8111277199999998</v>
      </c>
      <c r="L35" s="824">
        <f t="shared" si="12"/>
        <v>0.15092730999999998</v>
      </c>
      <c r="M35" s="824">
        <f t="shared" si="12"/>
        <v>0.009357399999999804</v>
      </c>
      <c r="N35" s="824">
        <f t="shared" si="12"/>
        <v>0</v>
      </c>
      <c r="O35" s="824">
        <f t="shared" si="12"/>
        <v>-1.04994099</v>
      </c>
      <c r="P35" s="824">
        <f t="shared" si="12"/>
        <v>1.0588305199999997</v>
      </c>
      <c r="Q35" s="824">
        <f t="shared" si="12"/>
        <v>0.00046786999999999025</v>
      </c>
      <c r="R35" s="824">
        <f t="shared" si="12"/>
        <v>3.0185462</v>
      </c>
      <c r="S35" s="824">
        <f t="shared" si="12"/>
        <v>0</v>
      </c>
      <c r="T35" s="824">
        <f t="shared" si="12"/>
        <v>1.0564911699999997</v>
      </c>
      <c r="U35" s="824">
        <f t="shared" si="12"/>
        <v>1.8111277199999998</v>
      </c>
      <c r="V35" s="824">
        <f t="shared" si="12"/>
        <v>0.15092730999999998</v>
      </c>
      <c r="W35" s="828"/>
      <c r="X35" s="828"/>
      <c r="Y35" s="828"/>
      <c r="Z35" s="828"/>
      <c r="AA35" s="828"/>
      <c r="AB35" s="828"/>
      <c r="AC35" s="828"/>
      <c r="AD35" s="828"/>
      <c r="AE35" s="828"/>
    </row>
    <row r="36" spans="1:31" s="16" customFormat="1" ht="30.75" customHeight="1">
      <c r="A36" s="841" t="s">
        <v>889</v>
      </c>
      <c r="B36" s="867" t="str">
        <f>'приложение 7.1'!B37</f>
        <v>г.Чебоксары</v>
      </c>
      <c r="C36" s="227">
        <f>SUM(C37:C39)</f>
        <v>3.0091888</v>
      </c>
      <c r="D36" s="227">
        <f aca="true" t="shared" si="13" ref="D36:V36">SUM(D37:D39)</f>
        <v>0</v>
      </c>
      <c r="E36" s="227">
        <f t="shared" si="13"/>
        <v>2.1064321599999998</v>
      </c>
      <c r="F36" s="227">
        <f t="shared" si="13"/>
        <v>0.7522972</v>
      </c>
      <c r="G36" s="227">
        <f t="shared" si="13"/>
        <v>0.15045944</v>
      </c>
      <c r="H36" s="227">
        <f t="shared" si="13"/>
        <v>3.0185462</v>
      </c>
      <c r="I36" s="227">
        <f t="shared" si="13"/>
        <v>0</v>
      </c>
      <c r="J36" s="227">
        <f t="shared" si="13"/>
        <v>1.0564911699999997</v>
      </c>
      <c r="K36" s="227">
        <f t="shared" si="13"/>
        <v>1.8111277199999998</v>
      </c>
      <c r="L36" s="227">
        <f t="shared" si="13"/>
        <v>0.15092730999999998</v>
      </c>
      <c r="M36" s="227">
        <f t="shared" si="13"/>
        <v>0.009357399999999804</v>
      </c>
      <c r="N36" s="227">
        <f t="shared" si="13"/>
        <v>0</v>
      </c>
      <c r="O36" s="227">
        <f t="shared" si="13"/>
        <v>-1.04994099</v>
      </c>
      <c r="P36" s="227">
        <f t="shared" si="13"/>
        <v>1.0588305199999997</v>
      </c>
      <c r="Q36" s="227">
        <f t="shared" si="13"/>
        <v>0.00046786999999999025</v>
      </c>
      <c r="R36" s="227">
        <f t="shared" si="13"/>
        <v>3.0185462</v>
      </c>
      <c r="S36" s="227">
        <f t="shared" si="13"/>
        <v>0</v>
      </c>
      <c r="T36" s="227">
        <f t="shared" si="13"/>
        <v>1.0564911699999997</v>
      </c>
      <c r="U36" s="227">
        <f t="shared" si="13"/>
        <v>1.8111277199999998</v>
      </c>
      <c r="V36" s="227">
        <f t="shared" si="13"/>
        <v>0.15092730999999998</v>
      </c>
      <c r="W36" s="156"/>
      <c r="X36" s="156"/>
      <c r="Y36" s="156"/>
      <c r="Z36" s="156"/>
      <c r="AA36" s="27"/>
      <c r="AB36" s="27"/>
      <c r="AC36" s="27"/>
      <c r="AD36" s="27"/>
      <c r="AE36" s="227"/>
    </row>
    <row r="37" spans="1:31" ht="15.75">
      <c r="A37" s="19">
        <v>1</v>
      </c>
      <c r="B37" s="446" t="str">
        <f>'приложение 7.1'!B38</f>
        <v>РП-7 ул.П.Лумумба, 17 </v>
      </c>
      <c r="C37" s="229">
        <f>'приложение 7.1'!D38</f>
        <v>1.5045944</v>
      </c>
      <c r="D37" s="229"/>
      <c r="E37" s="229">
        <f>C37*0.7</f>
        <v>1.0532160799999999</v>
      </c>
      <c r="F37" s="229">
        <f>C37*0.25</f>
        <v>0.3761486</v>
      </c>
      <c r="G37" s="229">
        <f>C37*0.05</f>
        <v>0.07522972</v>
      </c>
      <c r="H37" s="229">
        <f>'приложение 7.1'!E38</f>
        <v>1.4919684</v>
      </c>
      <c r="I37" s="229"/>
      <c r="J37" s="229">
        <f>H37*0.35</f>
        <v>0.5221889399999999</v>
      </c>
      <c r="K37" s="229">
        <f>H37*0.6</f>
        <v>0.89518104</v>
      </c>
      <c r="L37" s="229">
        <f>H37*0.05</f>
        <v>0.07459842</v>
      </c>
      <c r="M37" s="229">
        <f aca="true" t="shared" si="14" ref="M37:Q38">H37-C37</f>
        <v>-0.012626000000000026</v>
      </c>
      <c r="N37" s="229">
        <f t="shared" si="14"/>
        <v>0</v>
      </c>
      <c r="O37" s="229">
        <f t="shared" si="14"/>
        <v>-0.53102714</v>
      </c>
      <c r="P37" s="229">
        <f t="shared" si="14"/>
        <v>0.5190324399999999</v>
      </c>
      <c r="Q37" s="229">
        <f t="shared" si="14"/>
        <v>-0.0006313000000000013</v>
      </c>
      <c r="R37" s="229">
        <f>SUM(S37:V37)</f>
        <v>1.4919684</v>
      </c>
      <c r="S37" s="229">
        <f aca="true" t="shared" si="15" ref="S37:V38">I37</f>
        <v>0</v>
      </c>
      <c r="T37" s="229">
        <f t="shared" si="15"/>
        <v>0.5221889399999999</v>
      </c>
      <c r="U37" s="229">
        <f t="shared" si="15"/>
        <v>0.89518104</v>
      </c>
      <c r="V37" s="229">
        <f t="shared" si="15"/>
        <v>0.07459842</v>
      </c>
      <c r="W37" s="6"/>
      <c r="X37" s="6"/>
      <c r="Y37" s="6"/>
      <c r="Z37" s="6"/>
      <c r="AA37" s="6">
        <v>2014</v>
      </c>
      <c r="AB37" s="6"/>
      <c r="AC37" s="6"/>
      <c r="AD37" s="6"/>
      <c r="AE37" s="76" t="s">
        <v>823</v>
      </c>
    </row>
    <row r="38" spans="1:31" ht="15.75">
      <c r="A38" s="19">
        <v>2</v>
      </c>
      <c r="B38" s="446" t="str">
        <f>'приложение 7.1'!B39</f>
        <v>РП-31, ул.Гладкова, 29</v>
      </c>
      <c r="C38" s="229">
        <f>'приложение 7.1'!D39</f>
        <v>1.5045944</v>
      </c>
      <c r="D38" s="229"/>
      <c r="E38" s="229">
        <f>C38*0.7</f>
        <v>1.0532160799999999</v>
      </c>
      <c r="F38" s="229">
        <f>C38*0.25</f>
        <v>0.3761486</v>
      </c>
      <c r="G38" s="229">
        <f>C38*0.05</f>
        <v>0.07522972</v>
      </c>
      <c r="H38" s="229">
        <f>'приложение 7.1'!E39</f>
        <v>1.5051135999999998</v>
      </c>
      <c r="I38" s="229"/>
      <c r="J38" s="229">
        <f>H38*0.35</f>
        <v>0.5267897599999999</v>
      </c>
      <c r="K38" s="229">
        <f>H38*0.6</f>
        <v>0.9030681599999999</v>
      </c>
      <c r="L38" s="229">
        <f>H38*0.05</f>
        <v>0.07525567999999999</v>
      </c>
      <c r="M38" s="229">
        <f t="shared" si="14"/>
        <v>0.0005191999999998309</v>
      </c>
      <c r="N38" s="229">
        <f t="shared" si="14"/>
        <v>0</v>
      </c>
      <c r="O38" s="229">
        <f t="shared" si="14"/>
        <v>-0.52642632</v>
      </c>
      <c r="P38" s="229">
        <f t="shared" si="14"/>
        <v>0.5269195599999998</v>
      </c>
      <c r="Q38" s="229">
        <f t="shared" si="14"/>
        <v>2.5959999999991545E-05</v>
      </c>
      <c r="R38" s="229">
        <f>SUM(S38:V38)</f>
        <v>1.5051135999999998</v>
      </c>
      <c r="S38" s="229">
        <f t="shared" si="15"/>
        <v>0</v>
      </c>
      <c r="T38" s="229">
        <f t="shared" si="15"/>
        <v>0.5267897599999999</v>
      </c>
      <c r="U38" s="229">
        <f t="shared" si="15"/>
        <v>0.9030681599999999</v>
      </c>
      <c r="V38" s="229">
        <f t="shared" si="15"/>
        <v>0.07525567999999999</v>
      </c>
      <c r="W38" s="6"/>
      <c r="X38" s="6"/>
      <c r="Y38" s="6"/>
      <c r="Z38" s="6"/>
      <c r="AA38" s="6">
        <v>2014</v>
      </c>
      <c r="AB38" s="6"/>
      <c r="AC38" s="6"/>
      <c r="AD38" s="6"/>
      <c r="AE38" s="76" t="s">
        <v>823</v>
      </c>
    </row>
    <row r="39" spans="1:31" ht="15.75">
      <c r="A39" s="19">
        <v>3</v>
      </c>
      <c r="B39" s="446" t="str">
        <f>'приложение 7.1'!B40</f>
        <v>РП-20, ул.Р.Зорге, 6</v>
      </c>
      <c r="C39" s="229">
        <f>'приложение 7.1'!D40</f>
        <v>0</v>
      </c>
      <c r="D39" s="229"/>
      <c r="E39" s="229">
        <f>C39*0.7</f>
        <v>0</v>
      </c>
      <c r="F39" s="229">
        <f>C39*0.25</f>
        <v>0</v>
      </c>
      <c r="G39" s="229">
        <f>C39*0.05</f>
        <v>0</v>
      </c>
      <c r="H39" s="229">
        <f>'приложение 7.1'!E40</f>
        <v>0.0214642</v>
      </c>
      <c r="I39" s="229"/>
      <c r="J39" s="229">
        <f>H39*0.35</f>
        <v>0.007512469999999999</v>
      </c>
      <c r="K39" s="229">
        <f>H39*0.6</f>
        <v>0.01287852</v>
      </c>
      <c r="L39" s="229">
        <f>H39*0.05</f>
        <v>0.00107321</v>
      </c>
      <c r="M39" s="229">
        <f>H39-C39</f>
        <v>0.0214642</v>
      </c>
      <c r="N39" s="229">
        <f>I39-D39</f>
        <v>0</v>
      </c>
      <c r="O39" s="229">
        <f>J39-E39</f>
        <v>0.007512469999999999</v>
      </c>
      <c r="P39" s="229">
        <f>K39-F39</f>
        <v>0.01287852</v>
      </c>
      <c r="Q39" s="229">
        <f>L39-G39</f>
        <v>0.00107321</v>
      </c>
      <c r="R39" s="229">
        <f>SUM(S39:V39)</f>
        <v>0.0214642</v>
      </c>
      <c r="S39" s="229">
        <f>I39</f>
        <v>0</v>
      </c>
      <c r="T39" s="229">
        <f>J39</f>
        <v>0.007512469999999999</v>
      </c>
      <c r="U39" s="229">
        <f>K39</f>
        <v>0.01287852</v>
      </c>
      <c r="V39" s="229">
        <f>L39</f>
        <v>0.00107321</v>
      </c>
      <c r="W39" s="6"/>
      <c r="X39" s="6"/>
      <c r="Y39" s="6"/>
      <c r="Z39" s="6"/>
      <c r="AA39" s="6">
        <v>2014</v>
      </c>
      <c r="AB39" s="6"/>
      <c r="AC39" s="6"/>
      <c r="AD39" s="6"/>
      <c r="AE39" s="76" t="s">
        <v>823</v>
      </c>
    </row>
    <row r="40" spans="1:31" s="827" customFormat="1" ht="31.5">
      <c r="A40" s="822" t="s">
        <v>623</v>
      </c>
      <c r="B40" s="823" t="str">
        <f>'приложение 7.1'!B41</f>
        <v>Прочее техническое перевооружение и реконструкция</v>
      </c>
      <c r="C40" s="824">
        <f aca="true" t="shared" si="16" ref="C40:V40">C41+C42+C45+C53+C61+C76+C80</f>
        <v>24.935134599999998</v>
      </c>
      <c r="D40" s="824">
        <f t="shared" si="16"/>
        <v>1.14814</v>
      </c>
      <c r="E40" s="824">
        <f t="shared" si="16"/>
        <v>11.893497299999998</v>
      </c>
      <c r="F40" s="824">
        <f t="shared" si="16"/>
        <v>10.70414757</v>
      </c>
      <c r="G40" s="824">
        <f t="shared" si="16"/>
        <v>1.18934973</v>
      </c>
      <c r="H40" s="824">
        <f t="shared" si="16"/>
        <v>44.53892299999999</v>
      </c>
      <c r="I40" s="824">
        <f t="shared" si="16"/>
        <v>4.109632019999999</v>
      </c>
      <c r="J40" s="824">
        <f t="shared" si="16"/>
        <v>12.803431289999997</v>
      </c>
      <c r="K40" s="824">
        <f t="shared" si="16"/>
        <v>25.575787279999997</v>
      </c>
      <c r="L40" s="824">
        <f t="shared" si="16"/>
        <v>2.05007241</v>
      </c>
      <c r="M40" s="824">
        <f t="shared" si="16"/>
        <v>19.6037884</v>
      </c>
      <c r="N40" s="824">
        <f t="shared" si="16"/>
        <v>2.9614920199999997</v>
      </c>
      <c r="O40" s="824">
        <f t="shared" si="16"/>
        <v>0.909933989999999</v>
      </c>
      <c r="P40" s="824">
        <f t="shared" si="16"/>
        <v>14.871639709999997</v>
      </c>
      <c r="Q40" s="824">
        <f t="shared" si="16"/>
        <v>0.8607226799999999</v>
      </c>
      <c r="R40" s="824">
        <f t="shared" si="16"/>
        <v>44.53892299999999</v>
      </c>
      <c r="S40" s="824">
        <f t="shared" si="16"/>
        <v>4.109632019999999</v>
      </c>
      <c r="T40" s="824">
        <f t="shared" si="16"/>
        <v>12.803431289999997</v>
      </c>
      <c r="U40" s="824">
        <f t="shared" si="16"/>
        <v>25.575787279999997</v>
      </c>
      <c r="V40" s="824">
        <f t="shared" si="16"/>
        <v>2.05007241</v>
      </c>
      <c r="W40" s="828"/>
      <c r="X40" s="828"/>
      <c r="Y40" s="828"/>
      <c r="Z40" s="828"/>
      <c r="AA40" s="828"/>
      <c r="AB40" s="828"/>
      <c r="AC40" s="828"/>
      <c r="AD40" s="828"/>
      <c r="AE40" s="828"/>
    </row>
    <row r="41" spans="1:31" ht="15.75">
      <c r="A41" s="278" t="s">
        <v>817</v>
      </c>
      <c r="B41" s="826" t="str">
        <f>'приложение 7.1'!B42</f>
        <v>ПС 110/6 кВ</v>
      </c>
      <c r="C41" s="290">
        <f>'приложение 7.1'!D42</f>
        <v>0</v>
      </c>
      <c r="D41" s="290">
        <f>'приложение 7.1'!E42</f>
        <v>0</v>
      </c>
      <c r="E41" s="290">
        <f>'приложение 7.1'!G42</f>
        <v>0</v>
      </c>
      <c r="F41" s="290">
        <f>'приложение 7.1'!H42</f>
        <v>0</v>
      </c>
      <c r="G41" s="290">
        <f>'приложение 7.1'!J42</f>
        <v>0</v>
      </c>
      <c r="H41" s="290">
        <f>'приложение 7.1'!K42</f>
        <v>0</v>
      </c>
      <c r="I41" s="290">
        <f>'приложение 7.1'!M42</f>
        <v>0</v>
      </c>
      <c r="J41" s="290">
        <f>'приложение 7.1'!O42</f>
        <v>0</v>
      </c>
      <c r="K41" s="290">
        <f>'приложение 7.1'!P42</f>
        <v>0</v>
      </c>
      <c r="L41" s="290">
        <f>'приложение 7.1'!Q42</f>
        <v>0</v>
      </c>
      <c r="M41" s="290">
        <f>'приложение 7.1'!R42</f>
        <v>0</v>
      </c>
      <c r="N41" s="290">
        <f>'приложение 7.1'!S42</f>
        <v>0</v>
      </c>
      <c r="O41" s="290">
        <f>'приложение 7.1'!T42</f>
        <v>0</v>
      </c>
      <c r="P41" s="290">
        <f>'приложение 7.1'!U42</f>
        <v>0</v>
      </c>
      <c r="Q41" s="290">
        <f>'приложение 7.1'!V42</f>
        <v>0</v>
      </c>
      <c r="R41" s="290">
        <f>'приложение 7.1'!W42</f>
        <v>0</v>
      </c>
      <c r="S41" s="290">
        <f>'приложение 7.1'!X42</f>
        <v>0</v>
      </c>
      <c r="T41" s="290">
        <f>'приложение 7.1'!Y42</f>
        <v>0</v>
      </c>
      <c r="U41" s="290">
        <f>'приложение 7.1'!Z42</f>
        <v>0</v>
      </c>
      <c r="V41" s="290">
        <f>'приложение 7.1'!AA42</f>
        <v>0</v>
      </c>
      <c r="W41" s="290"/>
      <c r="X41" s="290"/>
      <c r="Y41" s="290"/>
      <c r="Z41" s="290"/>
      <c r="AA41" s="290"/>
      <c r="AB41" s="290"/>
      <c r="AC41" s="290"/>
      <c r="AD41" s="290"/>
      <c r="AE41" s="290"/>
    </row>
    <row r="42" spans="1:31" ht="15.75">
      <c r="A42" s="278" t="s">
        <v>706</v>
      </c>
      <c r="B42" s="826" t="str">
        <f>'приложение 7.1'!B43</f>
        <v>ВЛ-6-10 кВ</v>
      </c>
      <c r="C42" s="290">
        <f>C43</f>
        <v>0</v>
      </c>
      <c r="D42" s="290">
        <f aca="true" t="shared" si="17" ref="D42:V42">D43</f>
        <v>0</v>
      </c>
      <c r="E42" s="290">
        <f t="shared" si="17"/>
        <v>0</v>
      </c>
      <c r="F42" s="290">
        <f t="shared" si="17"/>
        <v>0</v>
      </c>
      <c r="G42" s="290">
        <f t="shared" si="17"/>
        <v>0</v>
      </c>
      <c r="H42" s="290">
        <f t="shared" si="17"/>
        <v>11.4431444</v>
      </c>
      <c r="I42" s="290">
        <f t="shared" si="17"/>
        <v>0.57215722</v>
      </c>
      <c r="J42" s="290">
        <f t="shared" si="17"/>
        <v>3.4329433199999997</v>
      </c>
      <c r="K42" s="290">
        <f t="shared" si="17"/>
        <v>6.865886639999999</v>
      </c>
      <c r="L42" s="290">
        <f t="shared" si="17"/>
        <v>0.57215722</v>
      </c>
      <c r="M42" s="290">
        <f t="shared" si="17"/>
        <v>11.4431444</v>
      </c>
      <c r="N42" s="290">
        <f t="shared" si="17"/>
        <v>0.57215722</v>
      </c>
      <c r="O42" s="290">
        <f t="shared" si="17"/>
        <v>3.4329433199999997</v>
      </c>
      <c r="P42" s="290">
        <f t="shared" si="17"/>
        <v>6.865886639999999</v>
      </c>
      <c r="Q42" s="290">
        <f t="shared" si="17"/>
        <v>0.57215722</v>
      </c>
      <c r="R42" s="290">
        <f t="shared" si="17"/>
        <v>11.4431444</v>
      </c>
      <c r="S42" s="290">
        <f t="shared" si="17"/>
        <v>0.57215722</v>
      </c>
      <c r="T42" s="290">
        <f t="shared" si="17"/>
        <v>3.4329433199999997</v>
      </c>
      <c r="U42" s="290">
        <f t="shared" si="17"/>
        <v>6.865886639999999</v>
      </c>
      <c r="V42" s="290">
        <f t="shared" si="17"/>
        <v>0.57215722</v>
      </c>
      <c r="W42" s="275"/>
      <c r="X42" s="275"/>
      <c r="Y42" s="275"/>
      <c r="Z42" s="275"/>
      <c r="AA42" s="275"/>
      <c r="AB42" s="275"/>
      <c r="AC42" s="275"/>
      <c r="AD42" s="275"/>
      <c r="AE42" s="275"/>
    </row>
    <row r="43" spans="1:31" s="16" customFormat="1" ht="30.75" customHeight="1">
      <c r="A43" s="841" t="s">
        <v>1026</v>
      </c>
      <c r="B43" s="867" t="str">
        <f>'приложение 7.1'!B44</f>
        <v>г.Чебоксары</v>
      </c>
      <c r="C43" s="227">
        <f>C44</f>
        <v>0</v>
      </c>
      <c r="D43" s="227">
        <f aca="true" t="shared" si="18" ref="D43:V43">D44</f>
        <v>0</v>
      </c>
      <c r="E43" s="227">
        <f t="shared" si="18"/>
        <v>0</v>
      </c>
      <c r="F43" s="227">
        <f t="shared" si="18"/>
        <v>0</v>
      </c>
      <c r="G43" s="227">
        <f t="shared" si="18"/>
        <v>0</v>
      </c>
      <c r="H43" s="227">
        <f t="shared" si="18"/>
        <v>11.4431444</v>
      </c>
      <c r="I43" s="227">
        <f t="shared" si="18"/>
        <v>0.57215722</v>
      </c>
      <c r="J43" s="227">
        <f t="shared" si="18"/>
        <v>3.4329433199999997</v>
      </c>
      <c r="K43" s="227">
        <f t="shared" si="18"/>
        <v>6.865886639999999</v>
      </c>
      <c r="L43" s="227">
        <f t="shared" si="18"/>
        <v>0.57215722</v>
      </c>
      <c r="M43" s="227">
        <f t="shared" si="18"/>
        <v>11.4431444</v>
      </c>
      <c r="N43" s="227">
        <f t="shared" si="18"/>
        <v>0.57215722</v>
      </c>
      <c r="O43" s="227">
        <f t="shared" si="18"/>
        <v>3.4329433199999997</v>
      </c>
      <c r="P43" s="227">
        <f t="shared" si="18"/>
        <v>6.865886639999999</v>
      </c>
      <c r="Q43" s="227">
        <f t="shared" si="18"/>
        <v>0.57215722</v>
      </c>
      <c r="R43" s="227">
        <f t="shared" si="18"/>
        <v>11.4431444</v>
      </c>
      <c r="S43" s="227">
        <f t="shared" si="18"/>
        <v>0.57215722</v>
      </c>
      <c r="T43" s="227">
        <f t="shared" si="18"/>
        <v>3.4329433199999997</v>
      </c>
      <c r="U43" s="227">
        <f t="shared" si="18"/>
        <v>6.865886639999999</v>
      </c>
      <c r="V43" s="227">
        <f t="shared" si="18"/>
        <v>0.57215722</v>
      </c>
      <c r="W43" s="156"/>
      <c r="X43" s="156"/>
      <c r="Y43" s="156"/>
      <c r="Z43" s="156"/>
      <c r="AA43" s="27"/>
      <c r="AB43" s="27"/>
      <c r="AC43" s="27"/>
      <c r="AD43" s="27"/>
      <c r="AE43" s="227"/>
    </row>
    <row r="44" spans="1:31" ht="36" customHeight="1">
      <c r="A44" s="19">
        <v>1</v>
      </c>
      <c r="B44" s="446" t="str">
        <f>'приложение 7.1'!B45</f>
        <v>Реконструкция ВЛ-6/10 кВ с установкой реклузеров в Заволжье, г.Чебоксары</v>
      </c>
      <c r="C44" s="229">
        <f>'приложение 7.1'!D45</f>
        <v>0</v>
      </c>
      <c r="D44" s="229">
        <f>C44</f>
        <v>0</v>
      </c>
      <c r="E44" s="229">
        <v>0</v>
      </c>
      <c r="F44" s="229">
        <v>0</v>
      </c>
      <c r="G44" s="229">
        <v>0</v>
      </c>
      <c r="H44" s="229">
        <f>'приложение 7.1'!E45</f>
        <v>11.4431444</v>
      </c>
      <c r="I44" s="229">
        <f>H44*0.05</f>
        <v>0.57215722</v>
      </c>
      <c r="J44" s="229">
        <f>H44*0.3</f>
        <v>3.4329433199999997</v>
      </c>
      <c r="K44" s="229">
        <f>H44*0.6</f>
        <v>6.865886639999999</v>
      </c>
      <c r="L44" s="229">
        <f>H44*0.05</f>
        <v>0.57215722</v>
      </c>
      <c r="M44" s="229">
        <f>H44-C44</f>
        <v>11.4431444</v>
      </c>
      <c r="N44" s="229">
        <f>I44-D44</f>
        <v>0.57215722</v>
      </c>
      <c r="O44" s="229">
        <f>J44-E44</f>
        <v>3.4329433199999997</v>
      </c>
      <c r="P44" s="229">
        <f>K44-F44</f>
        <v>6.865886639999999</v>
      </c>
      <c r="Q44" s="229">
        <f>L44-G44</f>
        <v>0.57215722</v>
      </c>
      <c r="R44" s="229">
        <f>SUM(S44:V44)</f>
        <v>11.4431444</v>
      </c>
      <c r="S44" s="229">
        <f>I44</f>
        <v>0.57215722</v>
      </c>
      <c r="T44" s="229">
        <f>J44</f>
        <v>3.4329433199999997</v>
      </c>
      <c r="U44" s="229">
        <f>K44</f>
        <v>6.865886639999999</v>
      </c>
      <c r="V44" s="229">
        <f>L44</f>
        <v>0.57215722</v>
      </c>
      <c r="W44" s="6"/>
      <c r="X44" s="6"/>
      <c r="Y44" s="6"/>
      <c r="Z44" s="6"/>
      <c r="AA44" s="6"/>
      <c r="AB44" s="6"/>
      <c r="AC44" s="6"/>
      <c r="AD44" s="6"/>
      <c r="AE44" s="76" t="s">
        <v>1039</v>
      </c>
    </row>
    <row r="45" spans="1:31" ht="15.75">
      <c r="A45" s="278" t="s">
        <v>707</v>
      </c>
      <c r="B45" s="826" t="str">
        <f>'приложение 7.1'!B46</f>
        <v>ВЛ-0,4 кВ</v>
      </c>
      <c r="C45" s="290">
        <f>C46+C50</f>
        <v>9.7630132</v>
      </c>
      <c r="D45" s="290">
        <f aca="true" t="shared" si="19" ref="D45:V45">D46+D50</f>
        <v>0.236</v>
      </c>
      <c r="E45" s="290">
        <f t="shared" si="19"/>
        <v>4.7635065999999995</v>
      </c>
      <c r="F45" s="290">
        <f t="shared" si="19"/>
        <v>4.28715594</v>
      </c>
      <c r="G45" s="290">
        <f t="shared" si="19"/>
        <v>0.47635066000000004</v>
      </c>
      <c r="H45" s="290">
        <f t="shared" si="19"/>
        <v>9.1129748</v>
      </c>
      <c r="I45" s="290">
        <f t="shared" si="19"/>
        <v>0</v>
      </c>
      <c r="J45" s="290">
        <f t="shared" si="19"/>
        <v>3.19219618</v>
      </c>
      <c r="K45" s="290">
        <f t="shared" si="19"/>
        <v>5.465129879999999</v>
      </c>
      <c r="L45" s="290">
        <f t="shared" si="19"/>
        <v>0.45564874</v>
      </c>
      <c r="M45" s="290">
        <f t="shared" si="19"/>
        <v>-0.6500384000000001</v>
      </c>
      <c r="N45" s="290">
        <f t="shared" si="19"/>
        <v>-0.236</v>
      </c>
      <c r="O45" s="290">
        <f t="shared" si="19"/>
        <v>-1.5713104200000005</v>
      </c>
      <c r="P45" s="290">
        <f t="shared" si="19"/>
        <v>1.1779739399999993</v>
      </c>
      <c r="Q45" s="290">
        <f t="shared" si="19"/>
        <v>-0.020701920000000013</v>
      </c>
      <c r="R45" s="290">
        <f t="shared" si="19"/>
        <v>9.1129748</v>
      </c>
      <c r="S45" s="290">
        <f t="shared" si="19"/>
        <v>0</v>
      </c>
      <c r="T45" s="290">
        <f t="shared" si="19"/>
        <v>3.19219618</v>
      </c>
      <c r="U45" s="290">
        <f t="shared" si="19"/>
        <v>5.465129879999999</v>
      </c>
      <c r="V45" s="290">
        <f t="shared" si="19"/>
        <v>0.45564874</v>
      </c>
      <c r="W45" s="275"/>
      <c r="X45" s="275"/>
      <c r="Y45" s="275"/>
      <c r="Z45" s="275"/>
      <c r="AA45" s="275"/>
      <c r="AB45" s="275"/>
      <c r="AC45" s="275"/>
      <c r="AD45" s="275"/>
      <c r="AE45" s="275"/>
    </row>
    <row r="46" spans="1:31" s="16" customFormat="1" ht="30.75" customHeight="1">
      <c r="A46" s="841" t="s">
        <v>890</v>
      </c>
      <c r="B46" s="867" t="str">
        <f>'приложение 7.1'!B47</f>
        <v>г.Чебоксары</v>
      </c>
      <c r="C46" s="227">
        <f>C47+C48+C49</f>
        <v>0.236</v>
      </c>
      <c r="D46" s="227">
        <f aca="true" t="shared" si="20" ref="D46:V46">D47+D48+D49</f>
        <v>0.236</v>
      </c>
      <c r="E46" s="227">
        <f t="shared" si="20"/>
        <v>0</v>
      </c>
      <c r="F46" s="227">
        <f t="shared" si="20"/>
        <v>0</v>
      </c>
      <c r="G46" s="227">
        <f t="shared" si="20"/>
        <v>0</v>
      </c>
      <c r="H46" s="227">
        <f t="shared" si="20"/>
        <v>3.3341136</v>
      </c>
      <c r="I46" s="227">
        <f t="shared" si="20"/>
        <v>0</v>
      </c>
      <c r="J46" s="227">
        <f t="shared" si="20"/>
        <v>1.1695947599999998</v>
      </c>
      <c r="K46" s="227">
        <f t="shared" si="20"/>
        <v>1.9978131599999998</v>
      </c>
      <c r="L46" s="227">
        <f t="shared" si="20"/>
        <v>0.16670568</v>
      </c>
      <c r="M46" s="227">
        <f t="shared" si="20"/>
        <v>3.0981136</v>
      </c>
      <c r="N46" s="227">
        <f t="shared" si="20"/>
        <v>-0.236</v>
      </c>
      <c r="O46" s="227">
        <f t="shared" si="20"/>
        <v>1.1695947599999998</v>
      </c>
      <c r="P46" s="227">
        <f t="shared" si="20"/>
        <v>1.9978131599999998</v>
      </c>
      <c r="Q46" s="227">
        <f t="shared" si="20"/>
        <v>0.16670568</v>
      </c>
      <c r="R46" s="227">
        <f t="shared" si="20"/>
        <v>3.3341136</v>
      </c>
      <c r="S46" s="227">
        <f t="shared" si="20"/>
        <v>0</v>
      </c>
      <c r="T46" s="227">
        <f t="shared" si="20"/>
        <v>1.1695947599999998</v>
      </c>
      <c r="U46" s="227">
        <f t="shared" si="20"/>
        <v>1.9978131599999998</v>
      </c>
      <c r="V46" s="227">
        <f t="shared" si="20"/>
        <v>0.16670568</v>
      </c>
      <c r="W46" s="156"/>
      <c r="X46" s="156"/>
      <c r="Y46" s="156"/>
      <c r="Z46" s="156"/>
      <c r="AA46" s="27"/>
      <c r="AB46" s="27"/>
      <c r="AC46" s="27"/>
      <c r="AD46" s="27"/>
      <c r="AE46" s="227"/>
    </row>
    <row r="47" spans="1:31" ht="36" customHeight="1">
      <c r="A47" s="19">
        <v>1</v>
      </c>
      <c r="B47" s="446" t="str">
        <f>'приложение 7.1'!B48</f>
        <v>от ТП-117, ул.Энергетиков, 32А (разработка рабочей документации)</v>
      </c>
      <c r="C47" s="229">
        <f>'приложение 7.1'!D48</f>
        <v>0.236</v>
      </c>
      <c r="D47" s="229">
        <f>C47</f>
        <v>0.236</v>
      </c>
      <c r="E47" s="229">
        <v>0</v>
      </c>
      <c r="F47" s="229">
        <v>0</v>
      </c>
      <c r="G47" s="229">
        <v>0</v>
      </c>
      <c r="H47" s="229">
        <f>'приложение 7.1'!E48</f>
        <v>0.1641144</v>
      </c>
      <c r="I47" s="229"/>
      <c r="J47" s="229">
        <f>H47*0.35</f>
        <v>0.05744003999999999</v>
      </c>
      <c r="K47" s="229">
        <f>H47*0.6</f>
        <v>0.09846864</v>
      </c>
      <c r="L47" s="229">
        <f>H47*0.05</f>
        <v>0.00820572</v>
      </c>
      <c r="M47" s="229">
        <f>H47-C47</f>
        <v>-0.0718856</v>
      </c>
      <c r="N47" s="229">
        <f>I47-D47</f>
        <v>-0.236</v>
      </c>
      <c r="O47" s="229">
        <f>J47-E47</f>
        <v>0.05744003999999999</v>
      </c>
      <c r="P47" s="229">
        <f>K47-F47</f>
        <v>0.09846864</v>
      </c>
      <c r="Q47" s="229">
        <f>L47-G47</f>
        <v>0.00820572</v>
      </c>
      <c r="R47" s="229">
        <f>SUM(S47:V47)</f>
        <v>0.1641144</v>
      </c>
      <c r="S47" s="229">
        <f>I47</f>
        <v>0</v>
      </c>
      <c r="T47" s="229">
        <f>J47</f>
        <v>0.05744003999999999</v>
      </c>
      <c r="U47" s="229">
        <f>K47</f>
        <v>0.09846864</v>
      </c>
      <c r="V47" s="229">
        <f>L47</f>
        <v>0.00820572</v>
      </c>
      <c r="W47" s="6"/>
      <c r="X47" s="6"/>
      <c r="Y47" s="6"/>
      <c r="Z47" s="6"/>
      <c r="AA47" s="6"/>
      <c r="AB47" s="6">
        <v>10</v>
      </c>
      <c r="AC47" s="6" t="s">
        <v>522</v>
      </c>
      <c r="AD47" s="6" t="s">
        <v>809</v>
      </c>
      <c r="AE47" s="76" t="s">
        <v>915</v>
      </c>
    </row>
    <row r="48" spans="1:31" ht="36" customHeight="1">
      <c r="A48" s="19">
        <v>2</v>
      </c>
      <c r="B48" s="446" t="str">
        <f>'приложение 7.1'!B49</f>
        <v>от ТП-450 по ул.Болгарстроя, 1В с установкой КТПН</v>
      </c>
      <c r="C48" s="229">
        <f>'приложение 7.1'!D49</f>
        <v>0</v>
      </c>
      <c r="D48" s="229">
        <f>C48</f>
        <v>0</v>
      </c>
      <c r="E48" s="229">
        <v>0</v>
      </c>
      <c r="F48" s="229">
        <v>0</v>
      </c>
      <c r="G48" s="229">
        <v>0</v>
      </c>
      <c r="H48" s="229">
        <f>'приложение 7.1'!E49</f>
        <v>3.1522992</v>
      </c>
      <c r="I48" s="229"/>
      <c r="J48" s="229">
        <f>H48*0.35</f>
        <v>1.10330472</v>
      </c>
      <c r="K48" s="229">
        <f>H48*0.6</f>
        <v>1.8913795199999999</v>
      </c>
      <c r="L48" s="229">
        <f>H48*0.05</f>
        <v>0.15761496</v>
      </c>
      <c r="M48" s="229">
        <f aca="true" t="shared" si="21" ref="M48:Q49">H48-C48</f>
        <v>3.1522992</v>
      </c>
      <c r="N48" s="229">
        <f t="shared" si="21"/>
        <v>0</v>
      </c>
      <c r="O48" s="229">
        <f t="shared" si="21"/>
        <v>1.10330472</v>
      </c>
      <c r="P48" s="229">
        <f t="shared" si="21"/>
        <v>1.8913795199999999</v>
      </c>
      <c r="Q48" s="229">
        <f t="shared" si="21"/>
        <v>0.15761496</v>
      </c>
      <c r="R48" s="229">
        <f>SUM(S48:V48)</f>
        <v>3.1522992</v>
      </c>
      <c r="S48" s="229">
        <f aca="true" t="shared" si="22" ref="S48:V49">I48</f>
        <v>0</v>
      </c>
      <c r="T48" s="229">
        <f t="shared" si="22"/>
        <v>1.10330472</v>
      </c>
      <c r="U48" s="229">
        <f t="shared" si="22"/>
        <v>1.8913795199999999</v>
      </c>
      <c r="V48" s="229">
        <f t="shared" si="22"/>
        <v>0.15761496</v>
      </c>
      <c r="W48" s="6"/>
      <c r="X48" s="6"/>
      <c r="Y48" s="6"/>
      <c r="Z48" s="6"/>
      <c r="AA48" s="6"/>
      <c r="AB48" s="6">
        <v>10</v>
      </c>
      <c r="AC48" s="6" t="s">
        <v>522</v>
      </c>
      <c r="AD48" s="6" t="s">
        <v>809</v>
      </c>
      <c r="AE48" s="76" t="s">
        <v>1040</v>
      </c>
    </row>
    <row r="49" spans="1:31" ht="57.75" customHeight="1">
      <c r="A49" s="19">
        <v>2</v>
      </c>
      <c r="B49" s="446" t="str">
        <f>'приложение 7.1'!B50</f>
        <v>Разработка проекта освоения лесов по объекту "ВЛ-0,4 кВ от ТП-616 пос.Первомайский"</v>
      </c>
      <c r="C49" s="229">
        <f>'приложение 7.1'!D50</f>
        <v>0</v>
      </c>
      <c r="D49" s="229">
        <f>C49</f>
        <v>0</v>
      </c>
      <c r="E49" s="229">
        <v>0</v>
      </c>
      <c r="F49" s="229">
        <v>0</v>
      </c>
      <c r="G49" s="229">
        <v>0</v>
      </c>
      <c r="H49" s="229">
        <f>'приложение 7.1'!E50+'приложение 7.1'!F50</f>
        <v>0.017699999999999997</v>
      </c>
      <c r="I49" s="229"/>
      <c r="J49" s="229">
        <f>H49*0.5</f>
        <v>0.008849999999999998</v>
      </c>
      <c r="K49" s="229">
        <f>H49*0.45</f>
        <v>0.007964999999999998</v>
      </c>
      <c r="L49" s="229">
        <f>H49*0.05</f>
        <v>0.0008849999999999999</v>
      </c>
      <c r="M49" s="229">
        <f t="shared" si="21"/>
        <v>0.017699999999999997</v>
      </c>
      <c r="N49" s="229">
        <f t="shared" si="21"/>
        <v>0</v>
      </c>
      <c r="O49" s="229">
        <f t="shared" si="21"/>
        <v>0.008849999999999998</v>
      </c>
      <c r="P49" s="229">
        <f t="shared" si="21"/>
        <v>0.007964999999999998</v>
      </c>
      <c r="Q49" s="229">
        <f t="shared" si="21"/>
        <v>0.0008849999999999999</v>
      </c>
      <c r="R49" s="229">
        <f>SUM(S49:V49)</f>
        <v>0.017699999999999997</v>
      </c>
      <c r="S49" s="229">
        <f t="shared" si="22"/>
        <v>0</v>
      </c>
      <c r="T49" s="229">
        <f t="shared" si="22"/>
        <v>0.008849999999999998</v>
      </c>
      <c r="U49" s="229">
        <f t="shared" si="22"/>
        <v>0.007964999999999998</v>
      </c>
      <c r="V49" s="229">
        <f t="shared" si="22"/>
        <v>0.0008849999999999999</v>
      </c>
      <c r="W49" s="6"/>
      <c r="X49" s="6"/>
      <c r="Y49" s="6"/>
      <c r="Z49" s="6"/>
      <c r="AA49" s="6"/>
      <c r="AB49" s="6"/>
      <c r="AC49" s="6"/>
      <c r="AD49" s="6"/>
      <c r="AE49" s="76"/>
    </row>
    <row r="50" spans="1:31" s="16" customFormat="1" ht="30.75" customHeight="1">
      <c r="A50" s="841" t="s">
        <v>891</v>
      </c>
      <c r="B50" s="867" t="str">
        <f>'приложение 7.1'!B51</f>
        <v>г.Мариинский Посад</v>
      </c>
      <c r="C50" s="227">
        <f>C51+C52</f>
        <v>9.527013199999999</v>
      </c>
      <c r="D50" s="227">
        <f>D51+D52</f>
        <v>0</v>
      </c>
      <c r="E50" s="227">
        <f aca="true" t="shared" si="23" ref="E50:V50">E51+E52</f>
        <v>4.7635065999999995</v>
      </c>
      <c r="F50" s="227">
        <f t="shared" si="23"/>
        <v>4.28715594</v>
      </c>
      <c r="G50" s="227">
        <f t="shared" si="23"/>
        <v>0.47635066000000004</v>
      </c>
      <c r="H50" s="227">
        <f t="shared" si="23"/>
        <v>5.7788612</v>
      </c>
      <c r="I50" s="227">
        <f t="shared" si="23"/>
        <v>0</v>
      </c>
      <c r="J50" s="227">
        <f t="shared" si="23"/>
        <v>2.02260142</v>
      </c>
      <c r="K50" s="227">
        <f t="shared" si="23"/>
        <v>3.46731672</v>
      </c>
      <c r="L50" s="227">
        <f t="shared" si="23"/>
        <v>0.28894306000000003</v>
      </c>
      <c r="M50" s="227">
        <f t="shared" si="23"/>
        <v>-3.748152</v>
      </c>
      <c r="N50" s="227">
        <f t="shared" si="23"/>
        <v>0</v>
      </c>
      <c r="O50" s="227">
        <f t="shared" si="23"/>
        <v>-2.7409051800000004</v>
      </c>
      <c r="P50" s="227">
        <f t="shared" si="23"/>
        <v>-0.8198392200000004</v>
      </c>
      <c r="Q50" s="227">
        <f t="shared" si="23"/>
        <v>-0.1874076</v>
      </c>
      <c r="R50" s="227">
        <f t="shared" si="23"/>
        <v>5.7788612</v>
      </c>
      <c r="S50" s="227">
        <f t="shared" si="23"/>
        <v>0</v>
      </c>
      <c r="T50" s="227">
        <f t="shared" si="23"/>
        <v>2.02260142</v>
      </c>
      <c r="U50" s="227">
        <f t="shared" si="23"/>
        <v>3.46731672</v>
      </c>
      <c r="V50" s="227">
        <f t="shared" si="23"/>
        <v>0.28894306000000003</v>
      </c>
      <c r="W50" s="156"/>
      <c r="X50" s="156"/>
      <c r="Y50" s="156"/>
      <c r="Z50" s="156"/>
      <c r="AA50" s="27"/>
      <c r="AB50" s="27"/>
      <c r="AC50" s="27"/>
      <c r="AD50" s="27"/>
      <c r="AE50" s="227"/>
    </row>
    <row r="51" spans="1:31" ht="36" customHeight="1">
      <c r="A51" s="19">
        <v>1</v>
      </c>
      <c r="B51" s="446" t="str">
        <f>'приложение 7.1'!B52</f>
        <v>от КТПК №4  (с установкой КТПН), г. Мариинский Посад</v>
      </c>
      <c r="C51" s="229">
        <f>'приложение 7.1'!D52</f>
        <v>4.6397718</v>
      </c>
      <c r="D51" s="229"/>
      <c r="E51" s="229">
        <f>C51*0.5</f>
        <v>2.3198859</v>
      </c>
      <c r="F51" s="229">
        <f>C51*0.45</f>
        <v>2.0878973100000002</v>
      </c>
      <c r="G51" s="229">
        <f>C51*0.05</f>
        <v>0.23198859000000002</v>
      </c>
      <c r="H51" s="229">
        <f>'приложение 7.1'!E52</f>
        <v>4.0343374</v>
      </c>
      <c r="I51" s="229"/>
      <c r="J51" s="229">
        <f>H51*0.35</f>
        <v>1.41201809</v>
      </c>
      <c r="K51" s="229">
        <f>H51*0.6</f>
        <v>2.42060244</v>
      </c>
      <c r="L51" s="229">
        <f>H51*0.05</f>
        <v>0.20171687000000002</v>
      </c>
      <c r="M51" s="229">
        <f aca="true" t="shared" si="24" ref="M51:Q52">H51-C51</f>
        <v>-0.6054344</v>
      </c>
      <c r="N51" s="229">
        <f t="shared" si="24"/>
        <v>0</v>
      </c>
      <c r="O51" s="229">
        <f t="shared" si="24"/>
        <v>-0.9078678100000002</v>
      </c>
      <c r="P51" s="229">
        <f t="shared" si="24"/>
        <v>0.3327051299999999</v>
      </c>
      <c r="Q51" s="229">
        <f t="shared" si="24"/>
        <v>-0.030271720000000002</v>
      </c>
      <c r="R51" s="229">
        <f>SUM(S51:V51)</f>
        <v>4.0343374</v>
      </c>
      <c r="S51" s="229">
        <f aca="true" t="shared" si="25" ref="S51:V52">I51</f>
        <v>0</v>
      </c>
      <c r="T51" s="229">
        <f t="shared" si="25"/>
        <v>1.41201809</v>
      </c>
      <c r="U51" s="229">
        <f t="shared" si="25"/>
        <v>2.42060244</v>
      </c>
      <c r="V51" s="229">
        <f t="shared" si="25"/>
        <v>0.20171687000000002</v>
      </c>
      <c r="W51" s="6"/>
      <c r="X51" s="6"/>
      <c r="Y51" s="6"/>
      <c r="Z51" s="6"/>
      <c r="AA51" s="6">
        <v>2014</v>
      </c>
      <c r="AB51" s="6">
        <v>10</v>
      </c>
      <c r="AC51" s="6" t="s">
        <v>522</v>
      </c>
      <c r="AD51" s="6" t="s">
        <v>809</v>
      </c>
      <c r="AE51" s="76" t="s">
        <v>916</v>
      </c>
    </row>
    <row r="52" spans="1:31" ht="36" customHeight="1">
      <c r="A52" s="19">
        <v>2</v>
      </c>
      <c r="B52" s="446" t="str">
        <f>'приложение 7.1'!B53</f>
        <v>от ТП-14 (с установкой КТПН) - 1 часть, г. Мариинский Посад</v>
      </c>
      <c r="C52" s="229">
        <f>'приложение 7.1'!D53</f>
        <v>4.8872414</v>
      </c>
      <c r="D52" s="229"/>
      <c r="E52" s="229">
        <f>C52*0.5</f>
        <v>2.4436207</v>
      </c>
      <c r="F52" s="229">
        <f>C52*0.45</f>
        <v>2.19925863</v>
      </c>
      <c r="G52" s="229">
        <f>C52*0.05</f>
        <v>0.24436207</v>
      </c>
      <c r="H52" s="229">
        <f>'приложение 7.1'!E53</f>
        <v>1.7445237999999998</v>
      </c>
      <c r="I52" s="229"/>
      <c r="J52" s="229">
        <f>H52*0.35</f>
        <v>0.6105833299999999</v>
      </c>
      <c r="K52" s="229">
        <f>H52*0.6</f>
        <v>1.0467142799999998</v>
      </c>
      <c r="L52" s="229">
        <f>H52*0.05</f>
        <v>0.08722619</v>
      </c>
      <c r="M52" s="229">
        <f t="shared" si="24"/>
        <v>-3.1427176</v>
      </c>
      <c r="N52" s="229">
        <f t="shared" si="24"/>
        <v>0</v>
      </c>
      <c r="O52" s="229">
        <f t="shared" si="24"/>
        <v>-1.83303737</v>
      </c>
      <c r="P52" s="229">
        <f t="shared" si="24"/>
        <v>-1.1525443500000003</v>
      </c>
      <c r="Q52" s="229">
        <f t="shared" si="24"/>
        <v>-0.15713588</v>
      </c>
      <c r="R52" s="229">
        <f>SUM(S52:V52)</f>
        <v>1.7445237999999996</v>
      </c>
      <c r="S52" s="229">
        <f t="shared" si="25"/>
        <v>0</v>
      </c>
      <c r="T52" s="229">
        <f t="shared" si="25"/>
        <v>0.6105833299999999</v>
      </c>
      <c r="U52" s="229">
        <f t="shared" si="25"/>
        <v>1.0467142799999998</v>
      </c>
      <c r="V52" s="229">
        <f t="shared" si="25"/>
        <v>0.08722619</v>
      </c>
      <c r="W52" s="6"/>
      <c r="X52" s="6"/>
      <c r="Y52" s="6"/>
      <c r="Z52" s="6"/>
      <c r="AA52" s="6">
        <v>2014</v>
      </c>
      <c r="AB52" s="6">
        <v>10</v>
      </c>
      <c r="AC52" s="6" t="s">
        <v>522</v>
      </c>
      <c r="AD52" s="6" t="s">
        <v>809</v>
      </c>
      <c r="AE52" s="76" t="s">
        <v>836</v>
      </c>
    </row>
    <row r="53" spans="1:31" ht="15.75">
      <c r="A53" s="278" t="s">
        <v>708</v>
      </c>
      <c r="B53" s="826" t="str">
        <f>'приложение 7.1'!B54</f>
        <v>КЛ-6-10 кВ</v>
      </c>
      <c r="C53" s="290">
        <f>C54+C58</f>
        <v>2.2209841999999997</v>
      </c>
      <c r="D53" s="290">
        <f aca="true" t="shared" si="26" ref="D53:V53">D54+D58</f>
        <v>0.41653999999999997</v>
      </c>
      <c r="E53" s="290">
        <f t="shared" si="26"/>
        <v>0.9022220999999999</v>
      </c>
      <c r="F53" s="290">
        <f t="shared" si="26"/>
        <v>0.8119998900000001</v>
      </c>
      <c r="G53" s="290">
        <f t="shared" si="26"/>
        <v>0.09022221</v>
      </c>
      <c r="H53" s="290">
        <f t="shared" si="26"/>
        <v>1.5754652</v>
      </c>
      <c r="I53" s="290">
        <f t="shared" si="26"/>
        <v>0</v>
      </c>
      <c r="J53" s="290">
        <f t="shared" si="26"/>
        <v>0.5514128199999999</v>
      </c>
      <c r="K53" s="290">
        <f t="shared" si="26"/>
        <v>0.9452791199999999</v>
      </c>
      <c r="L53" s="290">
        <f t="shared" si="26"/>
        <v>0.07877326</v>
      </c>
      <c r="M53" s="290">
        <f t="shared" si="26"/>
        <v>-0.645519</v>
      </c>
      <c r="N53" s="290">
        <f t="shared" si="26"/>
        <v>-0.41653999999999997</v>
      </c>
      <c r="O53" s="290">
        <f t="shared" si="26"/>
        <v>-0.35080928</v>
      </c>
      <c r="P53" s="290">
        <f t="shared" si="26"/>
        <v>0.13327922999999992</v>
      </c>
      <c r="Q53" s="290">
        <f t="shared" si="26"/>
        <v>-0.011448949999999996</v>
      </c>
      <c r="R53" s="290">
        <f t="shared" si="26"/>
        <v>1.5754652</v>
      </c>
      <c r="S53" s="290">
        <f t="shared" si="26"/>
        <v>0</v>
      </c>
      <c r="T53" s="290">
        <f t="shared" si="26"/>
        <v>0.5514128199999999</v>
      </c>
      <c r="U53" s="290">
        <f t="shared" si="26"/>
        <v>0.9452791199999999</v>
      </c>
      <c r="V53" s="290">
        <f t="shared" si="26"/>
        <v>0.07877326</v>
      </c>
      <c r="W53" s="275"/>
      <c r="X53" s="275"/>
      <c r="Y53" s="275"/>
      <c r="Z53" s="275"/>
      <c r="AA53" s="275"/>
      <c r="AB53" s="275"/>
      <c r="AC53" s="275"/>
      <c r="AD53" s="275"/>
      <c r="AE53" s="275"/>
    </row>
    <row r="54" spans="1:31" s="16" customFormat="1" ht="30.75" customHeight="1">
      <c r="A54" s="841" t="s">
        <v>892</v>
      </c>
      <c r="B54" s="867" t="str">
        <f>'приложение 7.1'!B55</f>
        <v>г.Чебоксары</v>
      </c>
      <c r="C54" s="227">
        <f aca="true" t="shared" si="27" ref="C54:I54">SUM(C55:C57)</f>
        <v>0.41653999999999997</v>
      </c>
      <c r="D54" s="227">
        <f t="shared" si="27"/>
        <v>0.41653999999999997</v>
      </c>
      <c r="E54" s="227">
        <f t="shared" si="27"/>
        <v>0</v>
      </c>
      <c r="F54" s="227">
        <f t="shared" si="27"/>
        <v>0</v>
      </c>
      <c r="G54" s="227">
        <f t="shared" si="27"/>
        <v>0</v>
      </c>
      <c r="H54" s="227">
        <f t="shared" si="27"/>
        <v>0.2901266</v>
      </c>
      <c r="I54" s="227">
        <f t="shared" si="27"/>
        <v>0</v>
      </c>
      <c r="J54" s="227">
        <f aca="true" t="shared" si="28" ref="J54:V54">SUM(J55:J57)</f>
        <v>0.10154431</v>
      </c>
      <c r="K54" s="227">
        <f t="shared" si="28"/>
        <v>0.17407595999999997</v>
      </c>
      <c r="L54" s="227">
        <f t="shared" si="28"/>
        <v>0.014506330000000001</v>
      </c>
      <c r="M54" s="227">
        <f t="shared" si="28"/>
        <v>-0.12641339999999998</v>
      </c>
      <c r="N54" s="227">
        <f t="shared" si="28"/>
        <v>-0.41653999999999997</v>
      </c>
      <c r="O54" s="227">
        <f t="shared" si="28"/>
        <v>0.10154431</v>
      </c>
      <c r="P54" s="227">
        <f t="shared" si="28"/>
        <v>0.17407595999999997</v>
      </c>
      <c r="Q54" s="227">
        <f t="shared" si="28"/>
        <v>0.014506330000000001</v>
      </c>
      <c r="R54" s="227">
        <f t="shared" si="28"/>
        <v>0.29012659999999996</v>
      </c>
      <c r="S54" s="227">
        <f t="shared" si="28"/>
        <v>0</v>
      </c>
      <c r="T54" s="227">
        <f t="shared" si="28"/>
        <v>0.10154431</v>
      </c>
      <c r="U54" s="227">
        <f t="shared" si="28"/>
        <v>0.17407595999999997</v>
      </c>
      <c r="V54" s="227">
        <f t="shared" si="28"/>
        <v>0.014506330000000001</v>
      </c>
      <c r="W54" s="156"/>
      <c r="X54" s="156"/>
      <c r="Y54" s="156"/>
      <c r="Z54" s="156"/>
      <c r="AA54" s="27"/>
      <c r="AB54" s="27"/>
      <c r="AC54" s="27"/>
      <c r="AD54" s="27"/>
      <c r="AE54" s="227"/>
    </row>
    <row r="55" spans="1:31" ht="44.25" customHeight="1">
      <c r="A55" s="19">
        <v>1</v>
      </c>
      <c r="B55" s="446" t="str">
        <f>'приложение 7.1'!B56</f>
        <v>КЛ-6 кВ от ТП-542 до ТП-123 (разработка рабочей документации)</v>
      </c>
      <c r="C55" s="229">
        <f>'приложение 7.1'!D56</f>
        <v>0.177</v>
      </c>
      <c r="D55" s="229">
        <f>C55</f>
        <v>0.177</v>
      </c>
      <c r="E55" s="229">
        <v>0</v>
      </c>
      <c r="F55" s="229">
        <v>0</v>
      </c>
      <c r="G55" s="229">
        <v>0</v>
      </c>
      <c r="H55" s="229">
        <f>'приложение 7.1'!E56</f>
        <v>0.0981642</v>
      </c>
      <c r="I55" s="229"/>
      <c r="J55" s="229">
        <f>H55*0.35</f>
        <v>0.034357469999999994</v>
      </c>
      <c r="K55" s="229">
        <f>H55*0.6</f>
        <v>0.058898519999999996</v>
      </c>
      <c r="L55" s="229">
        <f>H55*0.05</f>
        <v>0.00490821</v>
      </c>
      <c r="M55" s="229">
        <f aca="true" t="shared" si="29" ref="M55:Q57">H55-C55</f>
        <v>-0.0788358</v>
      </c>
      <c r="N55" s="229">
        <f t="shared" si="29"/>
        <v>-0.177</v>
      </c>
      <c r="O55" s="229">
        <f t="shared" si="29"/>
        <v>0.034357469999999994</v>
      </c>
      <c r="P55" s="229">
        <f t="shared" si="29"/>
        <v>0.058898519999999996</v>
      </c>
      <c r="Q55" s="229">
        <f t="shared" si="29"/>
        <v>0.00490821</v>
      </c>
      <c r="R55" s="229">
        <f>SUM(S55:V55)</f>
        <v>0.09816419999999998</v>
      </c>
      <c r="S55" s="229">
        <f aca="true" t="shared" si="30" ref="S55:V57">I55</f>
        <v>0</v>
      </c>
      <c r="T55" s="229">
        <f t="shared" si="30"/>
        <v>0.034357469999999994</v>
      </c>
      <c r="U55" s="229">
        <f t="shared" si="30"/>
        <v>0.058898519999999996</v>
      </c>
      <c r="V55" s="229">
        <f t="shared" si="30"/>
        <v>0.00490821</v>
      </c>
      <c r="W55" s="6"/>
      <c r="X55" s="6"/>
      <c r="Y55" s="6"/>
      <c r="Z55" s="6"/>
      <c r="AA55" s="6"/>
      <c r="AB55" s="6">
        <v>30</v>
      </c>
      <c r="AC55" s="6" t="s">
        <v>598</v>
      </c>
      <c r="AD55" s="6" t="s">
        <v>810</v>
      </c>
      <c r="AE55" s="76" t="s">
        <v>917</v>
      </c>
    </row>
    <row r="56" spans="1:31" ht="66" customHeight="1">
      <c r="A56" s="19">
        <v>2</v>
      </c>
      <c r="B56" s="446" t="str">
        <f>'приложение 7.1'!B57</f>
        <v>КЛ-6 кВ  от ПС "Парковая" до РП-17 (перезаводка КЛ от ПС "ВНИИР"), разработка рабочей документации</v>
      </c>
      <c r="C56" s="229">
        <f>'приложение 7.1'!D57</f>
        <v>0.12153999999999998</v>
      </c>
      <c r="D56" s="229">
        <f>C56</f>
        <v>0.12153999999999998</v>
      </c>
      <c r="E56" s="229">
        <v>0</v>
      </c>
      <c r="F56" s="229">
        <v>0</v>
      </c>
      <c r="G56" s="229">
        <v>0</v>
      </c>
      <c r="H56" s="229">
        <f>'приложение 7.1'!E57</f>
        <v>0</v>
      </c>
      <c r="I56" s="229"/>
      <c r="J56" s="229">
        <f>H56*0.35</f>
        <v>0</v>
      </c>
      <c r="K56" s="229">
        <f>H56*0.6</f>
        <v>0</v>
      </c>
      <c r="L56" s="229">
        <f>H56*0.05</f>
        <v>0</v>
      </c>
      <c r="M56" s="229">
        <f t="shared" si="29"/>
        <v>-0.12153999999999998</v>
      </c>
      <c r="N56" s="229">
        <f t="shared" si="29"/>
        <v>-0.12153999999999998</v>
      </c>
      <c r="O56" s="229">
        <f t="shared" si="29"/>
        <v>0</v>
      </c>
      <c r="P56" s="229">
        <f t="shared" si="29"/>
        <v>0</v>
      </c>
      <c r="Q56" s="229">
        <f t="shared" si="29"/>
        <v>0</v>
      </c>
      <c r="R56" s="229">
        <f>SUM(S56:V56)</f>
        <v>0</v>
      </c>
      <c r="S56" s="229">
        <f t="shared" si="30"/>
        <v>0</v>
      </c>
      <c r="T56" s="229">
        <f t="shared" si="30"/>
        <v>0</v>
      </c>
      <c r="U56" s="229">
        <f t="shared" si="30"/>
        <v>0</v>
      </c>
      <c r="V56" s="229">
        <f t="shared" si="30"/>
        <v>0</v>
      </c>
      <c r="W56" s="6"/>
      <c r="X56" s="6"/>
      <c r="Y56" s="6"/>
      <c r="Z56" s="6"/>
      <c r="AA56" s="6"/>
      <c r="AB56" s="6">
        <v>30</v>
      </c>
      <c r="AC56" s="6" t="s">
        <v>598</v>
      </c>
      <c r="AD56" s="6" t="s">
        <v>810</v>
      </c>
      <c r="AE56" s="76" t="s">
        <v>918</v>
      </c>
    </row>
    <row r="57" spans="1:31" ht="74.25" customHeight="1">
      <c r="A57" s="19">
        <v>3</v>
      </c>
      <c r="B57" s="446" t="str">
        <f>'приложение 7.1'!B58</f>
        <v>КЛ-6 кВ  от КТПН по ул.Пристанционная до опоры ВЛ от РП-17 (изменение точки присоединения), разработка рабочей документации</v>
      </c>
      <c r="C57" s="229">
        <f>'приложение 7.1'!D58</f>
        <v>0.118</v>
      </c>
      <c r="D57" s="229">
        <f>C57</f>
        <v>0.118</v>
      </c>
      <c r="E57" s="229">
        <v>0</v>
      </c>
      <c r="F57" s="229">
        <v>0</v>
      </c>
      <c r="G57" s="229">
        <v>0</v>
      </c>
      <c r="H57" s="229">
        <f>'приложение 7.1'!E58</f>
        <v>0.1919624</v>
      </c>
      <c r="I57" s="229"/>
      <c r="J57" s="229">
        <f>H57*0.35</f>
        <v>0.06718684</v>
      </c>
      <c r="K57" s="229">
        <f>H57*0.6</f>
        <v>0.11517743999999999</v>
      </c>
      <c r="L57" s="229">
        <f>H57*0.05</f>
        <v>0.009598120000000002</v>
      </c>
      <c r="M57" s="229">
        <f t="shared" si="29"/>
        <v>0.07396240000000001</v>
      </c>
      <c r="N57" s="229">
        <f t="shared" si="29"/>
        <v>-0.118</v>
      </c>
      <c r="O57" s="229">
        <f t="shared" si="29"/>
        <v>0.06718684</v>
      </c>
      <c r="P57" s="229">
        <f t="shared" si="29"/>
        <v>0.11517743999999999</v>
      </c>
      <c r="Q57" s="229">
        <f t="shared" si="29"/>
        <v>0.009598120000000002</v>
      </c>
      <c r="R57" s="229">
        <f>SUM(S57:V57)</f>
        <v>0.19196239999999998</v>
      </c>
      <c r="S57" s="229">
        <f t="shared" si="30"/>
        <v>0</v>
      </c>
      <c r="T57" s="229">
        <f t="shared" si="30"/>
        <v>0.06718684</v>
      </c>
      <c r="U57" s="229">
        <f t="shared" si="30"/>
        <v>0.11517743999999999</v>
      </c>
      <c r="V57" s="229">
        <f t="shared" si="30"/>
        <v>0.009598120000000002</v>
      </c>
      <c r="W57" s="6"/>
      <c r="X57" s="6"/>
      <c r="Y57" s="6"/>
      <c r="Z57" s="6"/>
      <c r="AA57" s="6"/>
      <c r="AB57" s="6">
        <v>30</v>
      </c>
      <c r="AC57" s="6" t="s">
        <v>598</v>
      </c>
      <c r="AD57" s="6" t="s">
        <v>810</v>
      </c>
      <c r="AE57" s="76" t="s">
        <v>738</v>
      </c>
    </row>
    <row r="58" spans="1:31" s="16" customFormat="1" ht="30.75" customHeight="1">
      <c r="A58" s="841" t="s">
        <v>893</v>
      </c>
      <c r="B58" s="867" t="str">
        <f>'приложение 7.1'!B59</f>
        <v>г.Цивильск</v>
      </c>
      <c r="C58" s="227">
        <f aca="true" t="shared" si="31" ref="C58:I58">SUM(C59:C60)</f>
        <v>1.8044441999999998</v>
      </c>
      <c r="D58" s="227">
        <f t="shared" si="31"/>
        <v>0</v>
      </c>
      <c r="E58" s="227">
        <f t="shared" si="31"/>
        <v>0.9022220999999999</v>
      </c>
      <c r="F58" s="227">
        <f t="shared" si="31"/>
        <v>0.8119998900000001</v>
      </c>
      <c r="G58" s="227">
        <f t="shared" si="31"/>
        <v>0.09022221</v>
      </c>
      <c r="H58" s="227">
        <f t="shared" si="31"/>
        <v>1.2853386</v>
      </c>
      <c r="I58" s="227">
        <f t="shared" si="31"/>
        <v>0</v>
      </c>
      <c r="J58" s="227">
        <f aca="true" t="shared" si="32" ref="J58:V58">SUM(J59:J60)</f>
        <v>0.44986850999999994</v>
      </c>
      <c r="K58" s="227">
        <f t="shared" si="32"/>
        <v>0.77120316</v>
      </c>
      <c r="L58" s="227">
        <f t="shared" si="32"/>
        <v>0.06426693</v>
      </c>
      <c r="M58" s="227">
        <f t="shared" si="32"/>
        <v>-0.5191056</v>
      </c>
      <c r="N58" s="227">
        <f t="shared" si="32"/>
        <v>0</v>
      </c>
      <c r="O58" s="227">
        <f t="shared" si="32"/>
        <v>-0.45235359</v>
      </c>
      <c r="P58" s="227">
        <f t="shared" si="32"/>
        <v>-0.04079673000000006</v>
      </c>
      <c r="Q58" s="227">
        <f t="shared" si="32"/>
        <v>-0.025955279999999997</v>
      </c>
      <c r="R58" s="227">
        <f t="shared" si="32"/>
        <v>1.2853386</v>
      </c>
      <c r="S58" s="227">
        <f t="shared" si="32"/>
        <v>0</v>
      </c>
      <c r="T58" s="227">
        <f t="shared" si="32"/>
        <v>0.44986850999999994</v>
      </c>
      <c r="U58" s="227">
        <f t="shared" si="32"/>
        <v>0.77120316</v>
      </c>
      <c r="V58" s="227">
        <f t="shared" si="32"/>
        <v>0.06426693</v>
      </c>
      <c r="W58" s="156"/>
      <c r="X58" s="156"/>
      <c r="Y58" s="156"/>
      <c r="Z58" s="156"/>
      <c r="AA58" s="27"/>
      <c r="AB58" s="27"/>
      <c r="AC58" s="27"/>
      <c r="AD58" s="27"/>
      <c r="AE58" s="227"/>
    </row>
    <row r="59" spans="1:31" ht="57" customHeight="1">
      <c r="A59" s="19">
        <v>1</v>
      </c>
      <c r="B59" s="446" t="str">
        <f>'приложение 7.1'!B60</f>
        <v>Замена ВЛ-10 кВ от ПС "Цивильская" на КЛ-10 кВ линия №38 и резервирование РП-1 по ул.Никитина, 6В </v>
      </c>
      <c r="C59" s="229">
        <f>'приложение 7.1'!D60</f>
        <v>1.5094442</v>
      </c>
      <c r="D59" s="229"/>
      <c r="E59" s="229">
        <f>C59*0.5</f>
        <v>0.7547221</v>
      </c>
      <c r="F59" s="229">
        <f>C59*0.45</f>
        <v>0.67924989</v>
      </c>
      <c r="G59" s="229">
        <f>C59*0.05</f>
        <v>0.07547221</v>
      </c>
      <c r="H59" s="229">
        <f>'приложение 7.1'!E60</f>
        <v>1.1984198</v>
      </c>
      <c r="I59" s="229"/>
      <c r="J59" s="229">
        <f>H59*0.35</f>
        <v>0.41944692999999994</v>
      </c>
      <c r="K59" s="229">
        <f>H59*0.6</f>
        <v>0.71905188</v>
      </c>
      <c r="L59" s="229">
        <f>H59*0.05</f>
        <v>0.05992099</v>
      </c>
      <c r="M59" s="229">
        <f aca="true" t="shared" si="33" ref="M59:Q60">H59-C59</f>
        <v>-0.3110244</v>
      </c>
      <c r="N59" s="229">
        <f t="shared" si="33"/>
        <v>0</v>
      </c>
      <c r="O59" s="229">
        <f t="shared" si="33"/>
        <v>-0.33527517</v>
      </c>
      <c r="P59" s="229">
        <f t="shared" si="33"/>
        <v>0.039801989999999954</v>
      </c>
      <c r="Q59" s="229">
        <f t="shared" si="33"/>
        <v>-0.015551219999999998</v>
      </c>
      <c r="R59" s="229">
        <f>SUM(S59:V59)</f>
        <v>1.1984198</v>
      </c>
      <c r="S59" s="229">
        <f aca="true" t="shared" si="34" ref="S59:V60">I59</f>
        <v>0</v>
      </c>
      <c r="T59" s="229">
        <f t="shared" si="34"/>
        <v>0.41944692999999994</v>
      </c>
      <c r="U59" s="229">
        <f t="shared" si="34"/>
        <v>0.71905188</v>
      </c>
      <c r="V59" s="229">
        <f t="shared" si="34"/>
        <v>0.05992099</v>
      </c>
      <c r="W59" s="6"/>
      <c r="X59" s="6"/>
      <c r="Y59" s="6"/>
      <c r="Z59" s="6"/>
      <c r="AA59" s="6">
        <v>2014</v>
      </c>
      <c r="AB59" s="6">
        <v>30</v>
      </c>
      <c r="AC59" s="6" t="s">
        <v>598</v>
      </c>
      <c r="AD59" s="6" t="s">
        <v>919</v>
      </c>
      <c r="AE59" s="76" t="s">
        <v>822</v>
      </c>
    </row>
    <row r="60" spans="1:31" ht="60" customHeight="1">
      <c r="A60" s="19">
        <v>2</v>
      </c>
      <c r="B60" s="446" t="str">
        <f>'приложение 7.1'!B61</f>
        <v>КЛ-10 кВ от ПС "Цивильская" до ТП-11 водозабор (Л-36,25), разработка рабочей документации</v>
      </c>
      <c r="C60" s="229">
        <f>'приложение 7.1'!D61</f>
        <v>0.295</v>
      </c>
      <c r="D60" s="229"/>
      <c r="E60" s="229">
        <f>C60*0.5</f>
        <v>0.1475</v>
      </c>
      <c r="F60" s="229">
        <f>C60*0.45</f>
        <v>0.13275</v>
      </c>
      <c r="G60" s="229">
        <f>C60*0.05</f>
        <v>0.01475</v>
      </c>
      <c r="H60" s="229">
        <f>'приложение 7.1'!E61</f>
        <v>0.08691879999999999</v>
      </c>
      <c r="I60" s="229"/>
      <c r="J60" s="229">
        <f>H60*0.35</f>
        <v>0.030421579999999993</v>
      </c>
      <c r="K60" s="229">
        <f>H60*0.6</f>
        <v>0.052151279999999994</v>
      </c>
      <c r="L60" s="229">
        <f>H60*0.05</f>
        <v>0.0043459399999999995</v>
      </c>
      <c r="M60" s="229">
        <f t="shared" si="33"/>
        <v>-0.2080812</v>
      </c>
      <c r="N60" s="229">
        <f t="shared" si="33"/>
        <v>0</v>
      </c>
      <c r="O60" s="229">
        <f t="shared" si="33"/>
        <v>-0.11707842</v>
      </c>
      <c r="P60" s="229">
        <f t="shared" si="33"/>
        <v>-0.08059872000000001</v>
      </c>
      <c r="Q60" s="229">
        <f t="shared" si="33"/>
        <v>-0.01040406</v>
      </c>
      <c r="R60" s="229">
        <f>SUM(S60:V60)</f>
        <v>0.08691879999999999</v>
      </c>
      <c r="S60" s="229">
        <f t="shared" si="34"/>
        <v>0</v>
      </c>
      <c r="T60" s="229">
        <f t="shared" si="34"/>
        <v>0.030421579999999993</v>
      </c>
      <c r="U60" s="229">
        <f t="shared" si="34"/>
        <v>0.052151279999999994</v>
      </c>
      <c r="V60" s="229">
        <f t="shared" si="34"/>
        <v>0.0043459399999999995</v>
      </c>
      <c r="W60" s="6"/>
      <c r="X60" s="6"/>
      <c r="Y60" s="6"/>
      <c r="Z60" s="6"/>
      <c r="AA60" s="6">
        <v>2014</v>
      </c>
      <c r="AB60" s="6">
        <v>30</v>
      </c>
      <c r="AC60" s="6" t="s">
        <v>598</v>
      </c>
      <c r="AD60" s="6" t="s">
        <v>919</v>
      </c>
      <c r="AE60" s="76" t="s">
        <v>920</v>
      </c>
    </row>
    <row r="61" spans="1:31" ht="15.75">
      <c r="A61" s="278" t="s">
        <v>709</v>
      </c>
      <c r="B61" s="826" t="str">
        <f>'приложение 7.1'!B62</f>
        <v>КЛ-0,4 кВ</v>
      </c>
      <c r="C61" s="290">
        <f>C62+C74</f>
        <v>5.807606000000001</v>
      </c>
      <c r="D61" s="290">
        <f aca="true" t="shared" si="35" ref="D61:V61">D62+D74</f>
        <v>0.1593</v>
      </c>
      <c r="E61" s="290">
        <f t="shared" si="35"/>
        <v>2.824153</v>
      </c>
      <c r="F61" s="290">
        <f t="shared" si="35"/>
        <v>2.5417377</v>
      </c>
      <c r="G61" s="290">
        <f t="shared" si="35"/>
        <v>0.2824153</v>
      </c>
      <c r="H61" s="290">
        <f t="shared" si="35"/>
        <v>9.0941302</v>
      </c>
      <c r="I61" s="290">
        <f t="shared" si="35"/>
        <v>0</v>
      </c>
      <c r="J61" s="290">
        <f t="shared" si="35"/>
        <v>3.18294557</v>
      </c>
      <c r="K61" s="290">
        <f t="shared" si="35"/>
        <v>5.456478119999999</v>
      </c>
      <c r="L61" s="290">
        <f t="shared" si="35"/>
        <v>0.45470650999999995</v>
      </c>
      <c r="M61" s="290">
        <f t="shared" si="35"/>
        <v>3.2865241999999997</v>
      </c>
      <c r="N61" s="290">
        <f t="shared" si="35"/>
        <v>-0.1593</v>
      </c>
      <c r="O61" s="290">
        <f t="shared" si="35"/>
        <v>0.35879256999999964</v>
      </c>
      <c r="P61" s="290">
        <f t="shared" si="35"/>
        <v>2.914740419999999</v>
      </c>
      <c r="Q61" s="290">
        <f t="shared" si="35"/>
        <v>0.17229120999999997</v>
      </c>
      <c r="R61" s="290">
        <f t="shared" si="35"/>
        <v>9.0941302</v>
      </c>
      <c r="S61" s="290">
        <f t="shared" si="35"/>
        <v>0</v>
      </c>
      <c r="T61" s="290">
        <f t="shared" si="35"/>
        <v>3.18294557</v>
      </c>
      <c r="U61" s="290">
        <f t="shared" si="35"/>
        <v>5.456478119999999</v>
      </c>
      <c r="V61" s="290">
        <f t="shared" si="35"/>
        <v>0.45470650999999995</v>
      </c>
      <c r="W61" s="275"/>
      <c r="X61" s="275"/>
      <c r="Y61" s="275"/>
      <c r="Z61" s="275"/>
      <c r="AA61" s="275"/>
      <c r="AB61" s="275"/>
      <c r="AC61" s="275"/>
      <c r="AD61" s="275"/>
      <c r="AE61" s="275"/>
    </row>
    <row r="62" spans="1:31" s="16" customFormat="1" ht="30.75" customHeight="1">
      <c r="A62" s="841" t="s">
        <v>894</v>
      </c>
      <c r="B62" s="867" t="str">
        <f>'приложение 7.1'!B63</f>
        <v>г.Чебоксары</v>
      </c>
      <c r="C62" s="227">
        <f>SUM(C63:C73)</f>
        <v>4.211502600000001</v>
      </c>
      <c r="D62" s="227">
        <f aca="true" t="shared" si="36" ref="D62:V62">SUM(D63:D73)</f>
        <v>0.1593</v>
      </c>
      <c r="E62" s="227">
        <f t="shared" si="36"/>
        <v>2.0261013</v>
      </c>
      <c r="F62" s="227">
        <f t="shared" si="36"/>
        <v>1.82349117</v>
      </c>
      <c r="G62" s="227">
        <f t="shared" si="36"/>
        <v>0.20261013</v>
      </c>
      <c r="H62" s="227">
        <f t="shared" si="36"/>
        <v>7.8118596</v>
      </c>
      <c r="I62" s="227">
        <f t="shared" si="36"/>
        <v>0</v>
      </c>
      <c r="J62" s="227">
        <f t="shared" si="36"/>
        <v>2.7341508599999997</v>
      </c>
      <c r="K62" s="227">
        <f t="shared" si="36"/>
        <v>4.687115759999999</v>
      </c>
      <c r="L62" s="227">
        <f t="shared" si="36"/>
        <v>0.39059298</v>
      </c>
      <c r="M62" s="227">
        <f t="shared" si="36"/>
        <v>3.600357</v>
      </c>
      <c r="N62" s="227">
        <f t="shared" si="36"/>
        <v>-0.1593</v>
      </c>
      <c r="O62" s="227">
        <f t="shared" si="36"/>
        <v>0.7080495599999996</v>
      </c>
      <c r="P62" s="227">
        <f t="shared" si="36"/>
        <v>2.863624589999999</v>
      </c>
      <c r="Q62" s="227">
        <f t="shared" si="36"/>
        <v>0.18798284999999995</v>
      </c>
      <c r="R62" s="227">
        <f t="shared" si="36"/>
        <v>7.8118596</v>
      </c>
      <c r="S62" s="227">
        <f t="shared" si="36"/>
        <v>0</v>
      </c>
      <c r="T62" s="227">
        <f t="shared" si="36"/>
        <v>2.7341508599999997</v>
      </c>
      <c r="U62" s="227">
        <f t="shared" si="36"/>
        <v>4.687115759999999</v>
      </c>
      <c r="V62" s="227">
        <f t="shared" si="36"/>
        <v>0.39059298</v>
      </c>
      <c r="W62" s="156"/>
      <c r="X62" s="156"/>
      <c r="Y62" s="156"/>
      <c r="Z62" s="156"/>
      <c r="AA62" s="27"/>
      <c r="AB62" s="27"/>
      <c r="AC62" s="27"/>
      <c r="AD62" s="27"/>
      <c r="AE62" s="227"/>
    </row>
    <row r="63" spans="1:31" ht="29.25" customHeight="1">
      <c r="A63" s="19">
        <v>1</v>
      </c>
      <c r="B63" s="446" t="str">
        <f>'приложение 7.1'!B64</f>
        <v>ТП-300 ул.Хузангая,4А</v>
      </c>
      <c r="C63" s="229">
        <f>'приложение 7.1'!D64</f>
        <v>3.0071828</v>
      </c>
      <c r="D63" s="229"/>
      <c r="E63" s="229">
        <f>C63*0.5</f>
        <v>1.5035914</v>
      </c>
      <c r="F63" s="229">
        <f>C63*0.45</f>
        <v>1.35323226</v>
      </c>
      <c r="G63" s="229">
        <f>C63*0.05</f>
        <v>0.15035914</v>
      </c>
      <c r="H63" s="229">
        <f>'приложение 7.1'!E64</f>
        <v>1.2888549999999999</v>
      </c>
      <c r="I63" s="229"/>
      <c r="J63" s="229">
        <f aca="true" t="shared" si="37" ref="J63:J68">H63*0.35</f>
        <v>0.4510992499999999</v>
      </c>
      <c r="K63" s="229">
        <f aca="true" t="shared" si="38" ref="K63:K68">H63*0.6</f>
        <v>0.7733129999999999</v>
      </c>
      <c r="L63" s="229">
        <f aca="true" t="shared" si="39" ref="L63:L68">H63*0.05</f>
        <v>0.06444275</v>
      </c>
      <c r="M63" s="229">
        <f aca="true" t="shared" si="40" ref="M63:M68">H63-C63</f>
        <v>-1.7183278</v>
      </c>
      <c r="N63" s="229">
        <f aca="true" t="shared" si="41" ref="N63:N68">I63-D63</f>
        <v>0</v>
      </c>
      <c r="O63" s="229">
        <f aca="true" t="shared" si="42" ref="O63:O68">J63-E63</f>
        <v>-1.05249215</v>
      </c>
      <c r="P63" s="229">
        <f aca="true" t="shared" si="43" ref="P63:P68">K63-F63</f>
        <v>-0.57991926</v>
      </c>
      <c r="Q63" s="229">
        <f aca="true" t="shared" si="44" ref="Q63:Q68">L63-G63</f>
        <v>-0.08591639000000001</v>
      </c>
      <c r="R63" s="229">
        <f aca="true" t="shared" si="45" ref="R63:R68">SUM(S63:V63)</f>
        <v>1.2888549999999999</v>
      </c>
      <c r="S63" s="229">
        <f aca="true" t="shared" si="46" ref="S63:S68">I63</f>
        <v>0</v>
      </c>
      <c r="T63" s="229">
        <f aca="true" t="shared" si="47" ref="T63:T68">J63</f>
        <v>0.4510992499999999</v>
      </c>
      <c r="U63" s="229">
        <f aca="true" t="shared" si="48" ref="U63:U68">K63</f>
        <v>0.7733129999999999</v>
      </c>
      <c r="V63" s="229">
        <f aca="true" t="shared" si="49" ref="V63:V68">L63</f>
        <v>0.06444275</v>
      </c>
      <c r="W63" s="6"/>
      <c r="X63" s="6"/>
      <c r="Y63" s="6"/>
      <c r="Z63" s="6"/>
      <c r="AA63" s="6">
        <v>2014</v>
      </c>
      <c r="AB63" s="6">
        <v>30</v>
      </c>
      <c r="AC63" s="6" t="s">
        <v>598</v>
      </c>
      <c r="AD63" s="6" t="s">
        <v>807</v>
      </c>
      <c r="AE63" s="76" t="s">
        <v>921</v>
      </c>
    </row>
    <row r="64" spans="1:31" ht="29.25" customHeight="1">
      <c r="A64" s="19">
        <v>2</v>
      </c>
      <c r="B64" s="446" t="str">
        <f>'приложение 7.1'!B65</f>
        <v>ТП-222 (2 этап) пр. Московский, 42 А</v>
      </c>
      <c r="C64" s="229">
        <f>'приложение 7.1'!D65</f>
        <v>0.4287176</v>
      </c>
      <c r="D64" s="229"/>
      <c r="E64" s="229">
        <f>C64*0.5</f>
        <v>0.2143588</v>
      </c>
      <c r="F64" s="229">
        <f>C64*0.45</f>
        <v>0.19292292</v>
      </c>
      <c r="G64" s="229">
        <f>C64*0.05</f>
        <v>0.02143588</v>
      </c>
      <c r="H64" s="229">
        <f>'приложение 7.1'!E65</f>
        <v>1.4100409999999999</v>
      </c>
      <c r="I64" s="229"/>
      <c r="J64" s="229">
        <f t="shared" si="37"/>
        <v>0.49351434999999994</v>
      </c>
      <c r="K64" s="229">
        <f t="shared" si="38"/>
        <v>0.8460245999999999</v>
      </c>
      <c r="L64" s="229">
        <f t="shared" si="39"/>
        <v>0.07050205</v>
      </c>
      <c r="M64" s="229">
        <f t="shared" si="40"/>
        <v>0.9813234</v>
      </c>
      <c r="N64" s="229">
        <f t="shared" si="41"/>
        <v>0</v>
      </c>
      <c r="O64" s="229">
        <f t="shared" si="42"/>
        <v>0.2791555499999999</v>
      </c>
      <c r="P64" s="229">
        <f t="shared" si="43"/>
        <v>0.6531016799999999</v>
      </c>
      <c r="Q64" s="229">
        <f t="shared" si="44"/>
        <v>0.04906616999999999</v>
      </c>
      <c r="R64" s="229">
        <f t="shared" si="45"/>
        <v>1.4100409999999999</v>
      </c>
      <c r="S64" s="229">
        <f t="shared" si="46"/>
        <v>0</v>
      </c>
      <c r="T64" s="229">
        <f t="shared" si="47"/>
        <v>0.49351434999999994</v>
      </c>
      <c r="U64" s="229">
        <f t="shared" si="48"/>
        <v>0.8460245999999999</v>
      </c>
      <c r="V64" s="229">
        <f t="shared" si="49"/>
        <v>0.07050205</v>
      </c>
      <c r="W64" s="6"/>
      <c r="X64" s="6"/>
      <c r="Y64" s="6"/>
      <c r="Z64" s="6"/>
      <c r="AA64" s="6">
        <v>2014</v>
      </c>
      <c r="AB64" s="6">
        <v>30</v>
      </c>
      <c r="AC64" s="6" t="s">
        <v>598</v>
      </c>
      <c r="AD64" s="6" t="s">
        <v>807</v>
      </c>
      <c r="AE64" s="76" t="s">
        <v>922</v>
      </c>
    </row>
    <row r="65" spans="1:31" ht="29.25" customHeight="1">
      <c r="A65" s="19">
        <v>3</v>
      </c>
      <c r="B65" s="446" t="str">
        <f>'приложение 7.1'!B66</f>
        <v>ТП-303 (2 этап) пр. 9ой Пятилетки, 3 Б</v>
      </c>
      <c r="C65" s="229">
        <f>'приложение 7.1'!D66</f>
        <v>0.6163022</v>
      </c>
      <c r="D65" s="229"/>
      <c r="E65" s="229">
        <f>C65*0.5</f>
        <v>0.3081511</v>
      </c>
      <c r="F65" s="229">
        <f>C65*0.45</f>
        <v>0.27733599000000003</v>
      </c>
      <c r="G65" s="229">
        <f>C65*0.05</f>
        <v>0.030815110000000003</v>
      </c>
      <c r="H65" s="229">
        <f>'приложение 7.1'!E66</f>
        <v>2.3562947999999997</v>
      </c>
      <c r="I65" s="229"/>
      <c r="J65" s="229">
        <f t="shared" si="37"/>
        <v>0.8247031799999999</v>
      </c>
      <c r="K65" s="229">
        <f t="shared" si="38"/>
        <v>1.4137768799999997</v>
      </c>
      <c r="L65" s="229">
        <f t="shared" si="39"/>
        <v>0.11781473999999999</v>
      </c>
      <c r="M65" s="229">
        <f t="shared" si="40"/>
        <v>1.7399925999999997</v>
      </c>
      <c r="N65" s="229">
        <f t="shared" si="41"/>
        <v>0</v>
      </c>
      <c r="O65" s="229">
        <f t="shared" si="42"/>
        <v>0.5165520799999999</v>
      </c>
      <c r="P65" s="229">
        <f t="shared" si="43"/>
        <v>1.1364408899999996</v>
      </c>
      <c r="Q65" s="229">
        <f t="shared" si="44"/>
        <v>0.08699962999999998</v>
      </c>
      <c r="R65" s="229">
        <f t="shared" si="45"/>
        <v>2.3562947999999997</v>
      </c>
      <c r="S65" s="229">
        <f t="shared" si="46"/>
        <v>0</v>
      </c>
      <c r="T65" s="229">
        <f t="shared" si="47"/>
        <v>0.8247031799999999</v>
      </c>
      <c r="U65" s="229">
        <f t="shared" si="48"/>
        <v>1.4137768799999997</v>
      </c>
      <c r="V65" s="229">
        <f t="shared" si="49"/>
        <v>0.11781473999999999</v>
      </c>
      <c r="W65" s="6"/>
      <c r="X65" s="6"/>
      <c r="Y65" s="6"/>
      <c r="Z65" s="6"/>
      <c r="AA65" s="6">
        <v>2014</v>
      </c>
      <c r="AB65" s="6">
        <v>30</v>
      </c>
      <c r="AC65" s="6" t="s">
        <v>598</v>
      </c>
      <c r="AD65" s="6" t="s">
        <v>807</v>
      </c>
      <c r="AE65" s="76" t="s">
        <v>923</v>
      </c>
    </row>
    <row r="66" spans="1:31" ht="29.25" customHeight="1">
      <c r="A66" s="19">
        <v>4</v>
      </c>
      <c r="B66" s="446" t="str">
        <f>'приложение 7.1'!B67</f>
        <v>ТП-357 ул. Эгерский б-р, 28а, г.Чебоксары, (разработка рабочей документации)</v>
      </c>
      <c r="C66" s="229">
        <f>'приложение 7.1'!D67</f>
        <v>0.035399999999999994</v>
      </c>
      <c r="D66" s="229">
        <f aca="true" t="shared" si="50" ref="D66:D73">C66</f>
        <v>0.035399999999999994</v>
      </c>
      <c r="E66" s="229">
        <v>0</v>
      </c>
      <c r="F66" s="229">
        <v>0</v>
      </c>
      <c r="G66" s="229">
        <v>0</v>
      </c>
      <c r="H66" s="229">
        <f>'приложение 7.1'!E67</f>
        <v>0.060534</v>
      </c>
      <c r="I66" s="229"/>
      <c r="J66" s="229">
        <f t="shared" si="37"/>
        <v>0.021186899999999998</v>
      </c>
      <c r="K66" s="229">
        <f t="shared" si="38"/>
        <v>0.036320399999999996</v>
      </c>
      <c r="L66" s="229">
        <f t="shared" si="39"/>
        <v>0.0030267000000000002</v>
      </c>
      <c r="M66" s="229">
        <f t="shared" si="40"/>
        <v>0.025134000000000004</v>
      </c>
      <c r="N66" s="229">
        <f t="shared" si="41"/>
        <v>-0.035399999999999994</v>
      </c>
      <c r="O66" s="229">
        <f t="shared" si="42"/>
        <v>0.021186899999999998</v>
      </c>
      <c r="P66" s="229">
        <f t="shared" si="43"/>
        <v>0.036320399999999996</v>
      </c>
      <c r="Q66" s="229">
        <f t="shared" si="44"/>
        <v>0.0030267000000000002</v>
      </c>
      <c r="R66" s="229">
        <f t="shared" si="45"/>
        <v>0.060534</v>
      </c>
      <c r="S66" s="229">
        <f t="shared" si="46"/>
        <v>0</v>
      </c>
      <c r="T66" s="229">
        <f t="shared" si="47"/>
        <v>0.021186899999999998</v>
      </c>
      <c r="U66" s="229">
        <f t="shared" si="48"/>
        <v>0.036320399999999996</v>
      </c>
      <c r="V66" s="229">
        <f t="shared" si="49"/>
        <v>0.0030267000000000002</v>
      </c>
      <c r="W66" s="6"/>
      <c r="X66" s="6"/>
      <c r="Y66" s="6"/>
      <c r="Z66" s="6"/>
      <c r="AA66" s="6"/>
      <c r="AB66" s="6">
        <v>30</v>
      </c>
      <c r="AC66" s="6" t="s">
        <v>598</v>
      </c>
      <c r="AD66" s="6" t="s">
        <v>807</v>
      </c>
      <c r="AE66" s="76" t="s">
        <v>924</v>
      </c>
    </row>
    <row r="67" spans="1:31" ht="29.25" customHeight="1">
      <c r="A67" s="19">
        <v>5</v>
      </c>
      <c r="B67" s="446" t="str">
        <f>'приложение 7.1'!B68</f>
        <v>РП-18 ул. Шумилова, 18Б, г.Чебоксары (разработка рабочей документации)</v>
      </c>
      <c r="C67" s="229">
        <f>'приложение 7.1'!D68</f>
        <v>0.06608</v>
      </c>
      <c r="D67" s="229">
        <f t="shared" si="50"/>
        <v>0.06608</v>
      </c>
      <c r="E67" s="229">
        <v>0</v>
      </c>
      <c r="F67" s="229">
        <v>0</v>
      </c>
      <c r="G67" s="229">
        <v>0</v>
      </c>
      <c r="H67" s="229">
        <f>'приложение 7.1'!E68</f>
        <v>0.07507159999999999</v>
      </c>
      <c r="I67" s="229"/>
      <c r="J67" s="229">
        <f t="shared" si="37"/>
        <v>0.026275059999999996</v>
      </c>
      <c r="K67" s="229">
        <f t="shared" si="38"/>
        <v>0.04504295999999999</v>
      </c>
      <c r="L67" s="229">
        <f t="shared" si="39"/>
        <v>0.0037535799999999994</v>
      </c>
      <c r="M67" s="229">
        <f t="shared" si="40"/>
        <v>0.008991599999999988</v>
      </c>
      <c r="N67" s="229">
        <f t="shared" si="41"/>
        <v>-0.06608</v>
      </c>
      <c r="O67" s="229">
        <f t="shared" si="42"/>
        <v>0.026275059999999996</v>
      </c>
      <c r="P67" s="229">
        <f t="shared" si="43"/>
        <v>0.04504295999999999</v>
      </c>
      <c r="Q67" s="229">
        <f t="shared" si="44"/>
        <v>0.0037535799999999994</v>
      </c>
      <c r="R67" s="229">
        <f t="shared" si="45"/>
        <v>0.07507159999999999</v>
      </c>
      <c r="S67" s="229">
        <f t="shared" si="46"/>
        <v>0</v>
      </c>
      <c r="T67" s="229">
        <f t="shared" si="47"/>
        <v>0.026275059999999996</v>
      </c>
      <c r="U67" s="229">
        <f t="shared" si="48"/>
        <v>0.04504295999999999</v>
      </c>
      <c r="V67" s="229">
        <f t="shared" si="49"/>
        <v>0.0037535799999999994</v>
      </c>
      <c r="W67" s="6"/>
      <c r="X67" s="6"/>
      <c r="Y67" s="6"/>
      <c r="Z67" s="6"/>
      <c r="AA67" s="6"/>
      <c r="AB67" s="6">
        <v>30</v>
      </c>
      <c r="AC67" s="6" t="s">
        <v>598</v>
      </c>
      <c r="AD67" s="6" t="s">
        <v>807</v>
      </c>
      <c r="AE67" s="76" t="s">
        <v>162</v>
      </c>
    </row>
    <row r="68" spans="1:31" ht="29.25" customHeight="1">
      <c r="A68" s="19">
        <v>6</v>
      </c>
      <c r="B68" s="446" t="str">
        <f>'приложение 7.1'!B69</f>
        <v>РП-10 до ж/д 12,14,16 по ул. Николаева, г.Чебоксары, (разработка рабочей документации)</v>
      </c>
      <c r="C68" s="229">
        <f>'приложение 7.1'!D69</f>
        <v>0.057819999999999996</v>
      </c>
      <c r="D68" s="229">
        <f t="shared" si="50"/>
        <v>0.057819999999999996</v>
      </c>
      <c r="E68" s="229">
        <v>0</v>
      </c>
      <c r="F68" s="229">
        <v>0</v>
      </c>
      <c r="G68" s="229">
        <v>0</v>
      </c>
      <c r="H68" s="229">
        <f>'приложение 7.1'!E69</f>
        <v>0.0470702</v>
      </c>
      <c r="I68" s="229"/>
      <c r="J68" s="229">
        <f t="shared" si="37"/>
        <v>0.016474569999999997</v>
      </c>
      <c r="K68" s="229">
        <f t="shared" si="38"/>
        <v>0.02824212</v>
      </c>
      <c r="L68" s="229">
        <f t="shared" si="39"/>
        <v>0.00235351</v>
      </c>
      <c r="M68" s="229">
        <f t="shared" si="40"/>
        <v>-0.010749799999999997</v>
      </c>
      <c r="N68" s="229">
        <f t="shared" si="41"/>
        <v>-0.057819999999999996</v>
      </c>
      <c r="O68" s="229">
        <f t="shared" si="42"/>
        <v>0.016474569999999997</v>
      </c>
      <c r="P68" s="229">
        <f t="shared" si="43"/>
        <v>0.02824212</v>
      </c>
      <c r="Q68" s="229">
        <f t="shared" si="44"/>
        <v>0.00235351</v>
      </c>
      <c r="R68" s="229">
        <f t="shared" si="45"/>
        <v>0.0470702</v>
      </c>
      <c r="S68" s="229">
        <f t="shared" si="46"/>
        <v>0</v>
      </c>
      <c r="T68" s="229">
        <f t="shared" si="47"/>
        <v>0.016474569999999997</v>
      </c>
      <c r="U68" s="229">
        <f t="shared" si="48"/>
        <v>0.02824212</v>
      </c>
      <c r="V68" s="229">
        <f t="shared" si="49"/>
        <v>0.00235351</v>
      </c>
      <c r="W68" s="6"/>
      <c r="X68" s="6"/>
      <c r="Y68" s="6"/>
      <c r="Z68" s="6"/>
      <c r="AA68" s="6"/>
      <c r="AB68" s="6">
        <v>30</v>
      </c>
      <c r="AC68" s="6" t="s">
        <v>598</v>
      </c>
      <c r="AD68" s="6" t="s">
        <v>807</v>
      </c>
      <c r="AE68" s="76" t="s">
        <v>925</v>
      </c>
    </row>
    <row r="69" spans="1:31" ht="29.25" customHeight="1">
      <c r="A69" s="19">
        <v>7</v>
      </c>
      <c r="B69" s="446" t="str">
        <f>'приложение 7.1'!B70</f>
        <v>Реконструкция КЛ-0,4 кВ от ТП-301, г.Чебоксары (2013г.)</v>
      </c>
      <c r="C69" s="229">
        <f>'приложение 7.1'!D70</f>
        <v>0</v>
      </c>
      <c r="D69" s="229">
        <f t="shared" si="50"/>
        <v>0</v>
      </c>
      <c r="E69" s="229">
        <v>0</v>
      </c>
      <c r="F69" s="229">
        <v>0</v>
      </c>
      <c r="G69" s="229">
        <v>0</v>
      </c>
      <c r="H69" s="229">
        <f>'приложение 7.1'!E70</f>
        <v>0.08881859999999998</v>
      </c>
      <c r="I69" s="229"/>
      <c r="J69" s="229">
        <f>H69*0.35</f>
        <v>0.03108650999999999</v>
      </c>
      <c r="K69" s="229">
        <f>H69*0.6</f>
        <v>0.05329115999999999</v>
      </c>
      <c r="L69" s="229">
        <f>H69*0.05</f>
        <v>0.004440929999999999</v>
      </c>
      <c r="M69" s="229">
        <f aca="true" t="shared" si="51" ref="M69:Q73">H69-C69</f>
        <v>0.08881859999999998</v>
      </c>
      <c r="N69" s="229">
        <f t="shared" si="51"/>
        <v>0</v>
      </c>
      <c r="O69" s="229">
        <f t="shared" si="51"/>
        <v>0.03108650999999999</v>
      </c>
      <c r="P69" s="229">
        <f t="shared" si="51"/>
        <v>0.05329115999999999</v>
      </c>
      <c r="Q69" s="229">
        <f t="shared" si="51"/>
        <v>0.004440929999999999</v>
      </c>
      <c r="R69" s="229">
        <f>SUM(S69:V69)</f>
        <v>0.08881859999999998</v>
      </c>
      <c r="S69" s="229">
        <f aca="true" t="shared" si="52" ref="S69:V73">I69</f>
        <v>0</v>
      </c>
      <c r="T69" s="229">
        <f t="shared" si="52"/>
        <v>0.03108650999999999</v>
      </c>
      <c r="U69" s="229">
        <f t="shared" si="52"/>
        <v>0.05329115999999999</v>
      </c>
      <c r="V69" s="229">
        <f t="shared" si="52"/>
        <v>0.004440929999999999</v>
      </c>
      <c r="W69" s="6"/>
      <c r="X69" s="6"/>
      <c r="Y69" s="6"/>
      <c r="Z69" s="6"/>
      <c r="AA69" s="6"/>
      <c r="AB69" s="6">
        <v>30</v>
      </c>
      <c r="AC69" s="6" t="s">
        <v>598</v>
      </c>
      <c r="AD69" s="6" t="s">
        <v>807</v>
      </c>
      <c r="AE69" s="76" t="s">
        <v>925</v>
      </c>
    </row>
    <row r="70" spans="1:31" ht="29.25" customHeight="1">
      <c r="A70" s="19">
        <v>8</v>
      </c>
      <c r="B70" s="446" t="str">
        <f>'приложение 7.1'!B71</f>
        <v>Реконструкция КЛ-0,4 кВ от ТП-302, г.Чебоксары (2013г.)</v>
      </c>
      <c r="C70" s="229">
        <f>'приложение 7.1'!D71</f>
        <v>0</v>
      </c>
      <c r="D70" s="229">
        <f t="shared" si="50"/>
        <v>0</v>
      </c>
      <c r="E70" s="229">
        <v>0</v>
      </c>
      <c r="F70" s="229">
        <v>0</v>
      </c>
      <c r="G70" s="229">
        <v>0</v>
      </c>
      <c r="H70" s="229">
        <f>'приложение 7.1'!E71</f>
        <v>0.2341474</v>
      </c>
      <c r="I70" s="229"/>
      <c r="J70" s="229">
        <f>H70*0.35</f>
        <v>0.08195158999999999</v>
      </c>
      <c r="K70" s="229">
        <f>H70*0.6</f>
        <v>0.14048844</v>
      </c>
      <c r="L70" s="229">
        <f>H70*0.05</f>
        <v>0.011707370000000002</v>
      </c>
      <c r="M70" s="229">
        <f t="shared" si="51"/>
        <v>0.2341474</v>
      </c>
      <c r="N70" s="229">
        <f t="shared" si="51"/>
        <v>0</v>
      </c>
      <c r="O70" s="229">
        <f t="shared" si="51"/>
        <v>0.08195158999999999</v>
      </c>
      <c r="P70" s="229">
        <f t="shared" si="51"/>
        <v>0.14048844</v>
      </c>
      <c r="Q70" s="229">
        <f t="shared" si="51"/>
        <v>0.011707370000000002</v>
      </c>
      <c r="R70" s="229">
        <f>SUM(S70:V70)</f>
        <v>0.23414739999999998</v>
      </c>
      <c r="S70" s="229">
        <f t="shared" si="52"/>
        <v>0</v>
      </c>
      <c r="T70" s="229">
        <f t="shared" si="52"/>
        <v>0.08195158999999999</v>
      </c>
      <c r="U70" s="229">
        <f t="shared" si="52"/>
        <v>0.14048844</v>
      </c>
      <c r="V70" s="229">
        <f t="shared" si="52"/>
        <v>0.011707370000000002</v>
      </c>
      <c r="W70" s="6"/>
      <c r="X70" s="6"/>
      <c r="Y70" s="6"/>
      <c r="Z70" s="6"/>
      <c r="AA70" s="6"/>
      <c r="AB70" s="6">
        <v>30</v>
      </c>
      <c r="AC70" s="6" t="s">
        <v>598</v>
      </c>
      <c r="AD70" s="6" t="s">
        <v>807</v>
      </c>
      <c r="AE70" s="76" t="s">
        <v>925</v>
      </c>
    </row>
    <row r="71" spans="1:31" ht="84.75" customHeight="1">
      <c r="A71" s="19">
        <v>9</v>
      </c>
      <c r="B71" s="446" t="str">
        <f>'приложение 7.1'!B72</f>
        <v>Реконструкция КЛ-0,4 кВ от под №2 и под №6 ж/д №16 по ул.Лен. Комсомола до нежилогопомещения №1 ж/д №16 по ул.Лен.Комсомола (ТП-308)</v>
      </c>
      <c r="C71" s="229">
        <f>'приложение 7.1'!D72</f>
        <v>0</v>
      </c>
      <c r="D71" s="229">
        <f t="shared" si="50"/>
        <v>0</v>
      </c>
      <c r="E71" s="229">
        <v>0</v>
      </c>
      <c r="F71" s="229">
        <v>0</v>
      </c>
      <c r="G71" s="229">
        <v>0</v>
      </c>
      <c r="H71" s="229">
        <f>'приложение 7.1'!E72+'приложение 7.1'!F72</f>
        <v>0.07208619999999999</v>
      </c>
      <c r="I71" s="229"/>
      <c r="J71" s="229">
        <f>H71*0.35</f>
        <v>0.025230169999999996</v>
      </c>
      <c r="K71" s="229">
        <f>H71*0.6</f>
        <v>0.043251719999999994</v>
      </c>
      <c r="L71" s="229">
        <f>H71*0.05</f>
        <v>0.0036043099999999995</v>
      </c>
      <c r="M71" s="229">
        <f t="shared" si="51"/>
        <v>0.07208619999999999</v>
      </c>
      <c r="N71" s="229">
        <f t="shared" si="51"/>
        <v>0</v>
      </c>
      <c r="O71" s="229">
        <f t="shared" si="51"/>
        <v>0.025230169999999996</v>
      </c>
      <c r="P71" s="229">
        <f t="shared" si="51"/>
        <v>0.043251719999999994</v>
      </c>
      <c r="Q71" s="229">
        <f t="shared" si="51"/>
        <v>0.0036043099999999995</v>
      </c>
      <c r="R71" s="229">
        <f>SUM(S71:V71)</f>
        <v>0.07208619999999999</v>
      </c>
      <c r="S71" s="229">
        <f t="shared" si="52"/>
        <v>0</v>
      </c>
      <c r="T71" s="229">
        <f t="shared" si="52"/>
        <v>0.025230169999999996</v>
      </c>
      <c r="U71" s="229">
        <f t="shared" si="52"/>
        <v>0.043251719999999994</v>
      </c>
      <c r="V71" s="229">
        <f t="shared" si="52"/>
        <v>0.0036043099999999995</v>
      </c>
      <c r="W71" s="6"/>
      <c r="X71" s="6"/>
      <c r="Y71" s="6"/>
      <c r="Z71" s="6"/>
      <c r="AA71" s="6"/>
      <c r="AB71" s="6"/>
      <c r="AC71" s="6"/>
      <c r="AD71" s="6"/>
      <c r="AE71" s="76"/>
    </row>
    <row r="72" spans="1:31" ht="86.25" customHeight="1">
      <c r="A72" s="19">
        <v>10</v>
      </c>
      <c r="B72" s="446" t="str">
        <f>'приложение 7.1'!B73</f>
        <v>Реконструкция КЛ-0,4 кВ от ТП-292 до шкафа, проектирумого с наружней стороны гаражного бокса №57 по Базовому пр. д.6</v>
      </c>
      <c r="C72" s="229">
        <f>'приложение 7.1'!D73</f>
        <v>0</v>
      </c>
      <c r="D72" s="229">
        <f t="shared" si="50"/>
        <v>0</v>
      </c>
      <c r="E72" s="229">
        <v>0</v>
      </c>
      <c r="F72" s="229">
        <v>0</v>
      </c>
      <c r="G72" s="229">
        <v>0</v>
      </c>
      <c r="H72" s="229">
        <f>'приложение 7.1'!E73+'приложение 7.1'!F73</f>
        <v>1.1089758</v>
      </c>
      <c r="I72" s="229"/>
      <c r="J72" s="229">
        <f>H72*0.35</f>
        <v>0.38814153</v>
      </c>
      <c r="K72" s="229">
        <f>H72*0.6</f>
        <v>0.66538548</v>
      </c>
      <c r="L72" s="229">
        <f>H72*0.05</f>
        <v>0.055448790000000005</v>
      </c>
      <c r="M72" s="229">
        <f t="shared" si="51"/>
        <v>1.1089758</v>
      </c>
      <c r="N72" s="229">
        <f t="shared" si="51"/>
        <v>0</v>
      </c>
      <c r="O72" s="229">
        <f t="shared" si="51"/>
        <v>0.38814153</v>
      </c>
      <c r="P72" s="229">
        <f t="shared" si="51"/>
        <v>0.66538548</v>
      </c>
      <c r="Q72" s="229">
        <f t="shared" si="51"/>
        <v>0.055448790000000005</v>
      </c>
      <c r="R72" s="229">
        <f>SUM(S72:V72)</f>
        <v>1.1089758</v>
      </c>
      <c r="S72" s="229">
        <f t="shared" si="52"/>
        <v>0</v>
      </c>
      <c r="T72" s="229">
        <f t="shared" si="52"/>
        <v>0.38814153</v>
      </c>
      <c r="U72" s="229">
        <f t="shared" si="52"/>
        <v>0.66538548</v>
      </c>
      <c r="V72" s="229">
        <f t="shared" si="52"/>
        <v>0.055448790000000005</v>
      </c>
      <c r="W72" s="6"/>
      <c r="X72" s="6"/>
      <c r="Y72" s="6"/>
      <c r="Z72" s="6"/>
      <c r="AA72" s="6"/>
      <c r="AB72" s="6"/>
      <c r="AC72" s="6"/>
      <c r="AD72" s="6"/>
      <c r="AE72" s="76"/>
    </row>
    <row r="73" spans="1:31" ht="75" customHeight="1">
      <c r="A73" s="19">
        <v>11</v>
      </c>
      <c r="B73" s="446" t="str">
        <f>'приложение 7.1'!B74</f>
        <v>Реконструкция КЛ-0,4 кВ от ТП-127 до шкафа, проектирумого с наружней стороны гаражного бокса по ул.Декабристов, д.8 "Б"</v>
      </c>
      <c r="C73" s="229">
        <f>'приложение 7.1'!D74</f>
        <v>0</v>
      </c>
      <c r="D73" s="229">
        <f t="shared" si="50"/>
        <v>0</v>
      </c>
      <c r="E73" s="229">
        <v>0</v>
      </c>
      <c r="F73" s="229">
        <v>0</v>
      </c>
      <c r="G73" s="229">
        <v>0</v>
      </c>
      <c r="H73" s="229">
        <f>'приложение 7.1'!E74+'приложение 7.1'!F74</f>
        <v>1.0699649999999998</v>
      </c>
      <c r="I73" s="229"/>
      <c r="J73" s="229">
        <f>H73*0.35</f>
        <v>0.3744877499999999</v>
      </c>
      <c r="K73" s="229">
        <f>H73*0.6</f>
        <v>0.6419789999999999</v>
      </c>
      <c r="L73" s="229">
        <f>H73*0.05</f>
        <v>0.05349825</v>
      </c>
      <c r="M73" s="229">
        <f t="shared" si="51"/>
        <v>1.0699649999999998</v>
      </c>
      <c r="N73" s="229">
        <f t="shared" si="51"/>
        <v>0</v>
      </c>
      <c r="O73" s="229">
        <f t="shared" si="51"/>
        <v>0.3744877499999999</v>
      </c>
      <c r="P73" s="229">
        <f t="shared" si="51"/>
        <v>0.6419789999999999</v>
      </c>
      <c r="Q73" s="229">
        <f t="shared" si="51"/>
        <v>0.05349825</v>
      </c>
      <c r="R73" s="229">
        <f>SUM(S73:V73)</f>
        <v>1.0699649999999998</v>
      </c>
      <c r="S73" s="229">
        <f t="shared" si="52"/>
        <v>0</v>
      </c>
      <c r="T73" s="229">
        <f t="shared" si="52"/>
        <v>0.3744877499999999</v>
      </c>
      <c r="U73" s="229">
        <f t="shared" si="52"/>
        <v>0.6419789999999999</v>
      </c>
      <c r="V73" s="229">
        <f t="shared" si="52"/>
        <v>0.05349825</v>
      </c>
      <c r="W73" s="6"/>
      <c r="X73" s="6"/>
      <c r="Y73" s="6"/>
      <c r="Z73" s="6"/>
      <c r="AA73" s="6"/>
      <c r="AB73" s="6"/>
      <c r="AC73" s="6"/>
      <c r="AD73" s="6"/>
      <c r="AE73" s="76"/>
    </row>
    <row r="74" spans="1:31" s="16" customFormat="1" ht="30.75" customHeight="1">
      <c r="A74" s="841" t="s">
        <v>895</v>
      </c>
      <c r="B74" s="867" t="str">
        <f>'приложение 7.1'!B75</f>
        <v>г.Цивильск</v>
      </c>
      <c r="C74" s="227">
        <f>C75</f>
        <v>1.5961033999999998</v>
      </c>
      <c r="D74" s="227"/>
      <c r="E74" s="227">
        <f>E75</f>
        <v>0.7980516999999999</v>
      </c>
      <c r="F74" s="227">
        <f>F75</f>
        <v>0.7182465299999999</v>
      </c>
      <c r="G74" s="227">
        <f>G75</f>
        <v>0.07980517</v>
      </c>
      <c r="H74" s="227">
        <f>H75</f>
        <v>1.2822706</v>
      </c>
      <c r="I74" s="227"/>
      <c r="J74" s="227">
        <f aca="true" t="shared" si="53" ref="J74:V74">J75</f>
        <v>0.44879470999999993</v>
      </c>
      <c r="K74" s="227">
        <f t="shared" si="53"/>
        <v>0.7693623599999999</v>
      </c>
      <c r="L74" s="227">
        <f t="shared" si="53"/>
        <v>0.06411353</v>
      </c>
      <c r="M74" s="227">
        <f t="shared" si="53"/>
        <v>-0.3138327999999999</v>
      </c>
      <c r="N74" s="227">
        <f t="shared" si="53"/>
        <v>0</v>
      </c>
      <c r="O74" s="227">
        <f t="shared" si="53"/>
        <v>-0.34925699</v>
      </c>
      <c r="P74" s="227">
        <f t="shared" si="53"/>
        <v>0.05111582999999997</v>
      </c>
      <c r="Q74" s="227">
        <f t="shared" si="53"/>
        <v>-0.015691639999999993</v>
      </c>
      <c r="R74" s="227">
        <f t="shared" si="53"/>
        <v>1.2822705999999997</v>
      </c>
      <c r="S74" s="227">
        <f t="shared" si="53"/>
        <v>0</v>
      </c>
      <c r="T74" s="227">
        <f t="shared" si="53"/>
        <v>0.44879470999999993</v>
      </c>
      <c r="U74" s="227">
        <f t="shared" si="53"/>
        <v>0.7693623599999999</v>
      </c>
      <c r="V74" s="227">
        <f t="shared" si="53"/>
        <v>0.06411353</v>
      </c>
      <c r="W74" s="156"/>
      <c r="X74" s="156"/>
      <c r="Y74" s="156"/>
      <c r="Z74" s="156"/>
      <c r="AA74" s="27"/>
      <c r="AB74" s="27"/>
      <c r="AC74" s="27"/>
      <c r="AD74" s="27"/>
      <c r="AE74" s="227"/>
    </row>
    <row r="75" spans="1:31" ht="29.25" customHeight="1">
      <c r="A75" s="19">
        <v>6</v>
      </c>
      <c r="B75" s="446" t="str">
        <f>'приложение 7.1'!B76</f>
        <v>ТП-27 (перезаводка КЛ), г.Цивильск</v>
      </c>
      <c r="C75" s="229">
        <f>'приложение 7.1'!D76</f>
        <v>1.5961033999999998</v>
      </c>
      <c r="D75" s="229"/>
      <c r="E75" s="229">
        <f>C75*0.5</f>
        <v>0.7980516999999999</v>
      </c>
      <c r="F75" s="229">
        <f>C75*0.45</f>
        <v>0.7182465299999999</v>
      </c>
      <c r="G75" s="229">
        <f>C75*0.05</f>
        <v>0.07980517</v>
      </c>
      <c r="H75" s="229">
        <f>'приложение 7.1'!E76</f>
        <v>1.2822706</v>
      </c>
      <c r="I75" s="229"/>
      <c r="J75" s="229">
        <f>H75*0.35</f>
        <v>0.44879470999999993</v>
      </c>
      <c r="K75" s="229">
        <f>H75*0.6</f>
        <v>0.7693623599999999</v>
      </c>
      <c r="L75" s="229">
        <f>H75*0.05</f>
        <v>0.06411353</v>
      </c>
      <c r="M75" s="229">
        <f>H75-C75</f>
        <v>-0.3138327999999999</v>
      </c>
      <c r="N75" s="229">
        <f>I75-D75</f>
        <v>0</v>
      </c>
      <c r="O75" s="229">
        <f>J75-E75</f>
        <v>-0.34925699</v>
      </c>
      <c r="P75" s="229">
        <f>K75-F75</f>
        <v>0.05111582999999997</v>
      </c>
      <c r="Q75" s="229">
        <f>L75-G75</f>
        <v>-0.015691639999999993</v>
      </c>
      <c r="R75" s="229">
        <f>SUM(S75:V75)</f>
        <v>1.2822705999999997</v>
      </c>
      <c r="S75" s="229">
        <f>I75</f>
        <v>0</v>
      </c>
      <c r="T75" s="229">
        <f>J75</f>
        <v>0.44879470999999993</v>
      </c>
      <c r="U75" s="229">
        <f>K75</f>
        <v>0.7693623599999999</v>
      </c>
      <c r="V75" s="229">
        <f>L75</f>
        <v>0.06411353</v>
      </c>
      <c r="W75" s="6"/>
      <c r="X75" s="6"/>
      <c r="Y75" s="6"/>
      <c r="Z75" s="6"/>
      <c r="AA75" s="6">
        <v>2014</v>
      </c>
      <c r="AB75" s="6">
        <v>30</v>
      </c>
      <c r="AC75" s="6" t="s">
        <v>598</v>
      </c>
      <c r="AD75" s="6" t="s">
        <v>807</v>
      </c>
      <c r="AE75" s="76" t="s">
        <v>821</v>
      </c>
    </row>
    <row r="76" spans="1:31" ht="15.75">
      <c r="A76" s="278" t="s">
        <v>818</v>
      </c>
      <c r="B76" s="826" t="str">
        <f>'приложение 7.1'!B77</f>
        <v>РП-6-10 кВ</v>
      </c>
      <c r="C76" s="290">
        <f>C77</f>
        <v>0.7345028</v>
      </c>
      <c r="D76" s="290">
        <f>SUM(D77:D78)</f>
        <v>0</v>
      </c>
      <c r="E76" s="290">
        <f>E77</f>
        <v>0.3672514</v>
      </c>
      <c r="F76" s="290">
        <f>F77</f>
        <v>0.33052626</v>
      </c>
      <c r="G76" s="290">
        <f>G77</f>
        <v>0.03672514</v>
      </c>
      <c r="H76" s="290">
        <f>H77</f>
        <v>0.8207726</v>
      </c>
      <c r="I76" s="290">
        <f>SUM(I77:I78)</f>
        <v>0</v>
      </c>
      <c r="J76" s="290">
        <f>J77</f>
        <v>0.20519315</v>
      </c>
      <c r="K76" s="290">
        <f>K77</f>
        <v>0.57454082</v>
      </c>
      <c r="L76" s="290">
        <f>L77</f>
        <v>0.04103862999999999</v>
      </c>
      <c r="M76" s="290">
        <f>M77</f>
        <v>0.08626979999999994</v>
      </c>
      <c r="N76" s="290">
        <f aca="true" t="shared" si="54" ref="N76:V76">N77</f>
        <v>0</v>
      </c>
      <c r="O76" s="290">
        <f t="shared" si="54"/>
        <v>-0.16205825000000001</v>
      </c>
      <c r="P76" s="290">
        <f t="shared" si="54"/>
        <v>0.2440145599999999</v>
      </c>
      <c r="Q76" s="290">
        <f t="shared" si="54"/>
        <v>0.004313489999999993</v>
      </c>
      <c r="R76" s="290">
        <f t="shared" si="54"/>
        <v>0.8207726</v>
      </c>
      <c r="S76" s="290">
        <f t="shared" si="54"/>
        <v>0</v>
      </c>
      <c r="T76" s="290">
        <f t="shared" si="54"/>
        <v>0.20519315</v>
      </c>
      <c r="U76" s="290">
        <f t="shared" si="54"/>
        <v>0.57454082</v>
      </c>
      <c r="V76" s="290">
        <f t="shared" si="54"/>
        <v>0.04103862999999999</v>
      </c>
      <c r="W76" s="275"/>
      <c r="X76" s="275"/>
      <c r="Y76" s="275"/>
      <c r="Z76" s="275"/>
      <c r="AA76" s="275"/>
      <c r="AB76" s="275"/>
      <c r="AC76" s="275"/>
      <c r="AD76" s="275"/>
      <c r="AE76" s="275"/>
    </row>
    <row r="77" spans="1:31" s="16" customFormat="1" ht="30.75" customHeight="1">
      <c r="A77" s="841" t="s">
        <v>896</v>
      </c>
      <c r="B77" s="867" t="str">
        <f>'приложение 7.1'!B78</f>
        <v>г.Чебоксары</v>
      </c>
      <c r="C77" s="227">
        <f>C78+C79</f>
        <v>0.7345028</v>
      </c>
      <c r="D77" s="227"/>
      <c r="E77" s="227">
        <f>E78+E79</f>
        <v>0.3672514</v>
      </c>
      <c r="F77" s="227">
        <f>F78+F79</f>
        <v>0.33052626</v>
      </c>
      <c r="G77" s="227">
        <f>G78+G79</f>
        <v>0.03672514</v>
      </c>
      <c r="H77" s="227">
        <f>H78+H79</f>
        <v>0.8207726</v>
      </c>
      <c r="I77" s="227"/>
      <c r="J77" s="227">
        <f aca="true" t="shared" si="55" ref="J77:V77">J78+J79</f>
        <v>0.20519315</v>
      </c>
      <c r="K77" s="227">
        <f t="shared" si="55"/>
        <v>0.57454082</v>
      </c>
      <c r="L77" s="227">
        <f t="shared" si="55"/>
        <v>0.04103862999999999</v>
      </c>
      <c r="M77" s="227">
        <f t="shared" si="55"/>
        <v>0.08626979999999994</v>
      </c>
      <c r="N77" s="227">
        <f t="shared" si="55"/>
        <v>0</v>
      </c>
      <c r="O77" s="227">
        <f t="shared" si="55"/>
        <v>-0.16205825000000001</v>
      </c>
      <c r="P77" s="227">
        <f t="shared" si="55"/>
        <v>0.2440145599999999</v>
      </c>
      <c r="Q77" s="227">
        <f t="shared" si="55"/>
        <v>0.004313489999999993</v>
      </c>
      <c r="R77" s="227">
        <f t="shared" si="55"/>
        <v>0.8207726</v>
      </c>
      <c r="S77" s="227">
        <f t="shared" si="55"/>
        <v>0</v>
      </c>
      <c r="T77" s="227">
        <f t="shared" si="55"/>
        <v>0.20519315</v>
      </c>
      <c r="U77" s="227">
        <f t="shared" si="55"/>
        <v>0.57454082</v>
      </c>
      <c r="V77" s="227">
        <f t="shared" si="55"/>
        <v>0.04103862999999999</v>
      </c>
      <c r="W77" s="156"/>
      <c r="X77" s="156"/>
      <c r="Y77" s="156"/>
      <c r="Z77" s="156"/>
      <c r="AA77" s="27"/>
      <c r="AB77" s="27"/>
      <c r="AC77" s="27"/>
      <c r="AD77" s="27"/>
      <c r="AE77" s="227"/>
    </row>
    <row r="78" spans="1:31" ht="31.5">
      <c r="A78" s="19">
        <v>1</v>
      </c>
      <c r="B78" s="447" t="str">
        <f>'приложение 7.1'!B79</f>
        <v>РП-29 Марпосадское шоссе, 9В, г.Чебоксары</v>
      </c>
      <c r="C78" s="229">
        <f>'приложение 7.1'!D79</f>
        <v>0.7345028</v>
      </c>
      <c r="D78" s="229"/>
      <c r="E78" s="229">
        <f>C78*0.5</f>
        <v>0.3672514</v>
      </c>
      <c r="F78" s="229">
        <f>C78*0.45</f>
        <v>0.33052626</v>
      </c>
      <c r="G78" s="229">
        <f>C78*0.05</f>
        <v>0.03672514</v>
      </c>
      <c r="H78" s="229">
        <f>'приложение 7.1'!E79</f>
        <v>0.7341605999999999</v>
      </c>
      <c r="I78" s="229"/>
      <c r="J78" s="229">
        <f>H78*0.25</f>
        <v>0.18354014999999999</v>
      </c>
      <c r="K78" s="229">
        <f>H78*0.7</f>
        <v>0.5139124199999999</v>
      </c>
      <c r="L78" s="229">
        <f>H78*0.05</f>
        <v>0.036708029999999996</v>
      </c>
      <c r="M78" s="229">
        <f aca="true" t="shared" si="56" ref="M78:Q79">H78-C78</f>
        <v>-0.0003422000000000702</v>
      </c>
      <c r="N78" s="229">
        <f t="shared" si="56"/>
        <v>0</v>
      </c>
      <c r="O78" s="229">
        <f t="shared" si="56"/>
        <v>-0.18371125000000002</v>
      </c>
      <c r="P78" s="229">
        <f t="shared" si="56"/>
        <v>0.1833861599999999</v>
      </c>
      <c r="Q78" s="229">
        <f t="shared" si="56"/>
        <v>-1.7110000000007675E-05</v>
      </c>
      <c r="R78" s="229">
        <f>SUM(S78:V78)</f>
        <v>0.7341605999999999</v>
      </c>
      <c r="S78" s="229">
        <f aca="true" t="shared" si="57" ref="S78:V79">I78</f>
        <v>0</v>
      </c>
      <c r="T78" s="229">
        <f t="shared" si="57"/>
        <v>0.18354014999999999</v>
      </c>
      <c r="U78" s="229">
        <f t="shared" si="57"/>
        <v>0.5139124199999999</v>
      </c>
      <c r="V78" s="229">
        <f t="shared" si="57"/>
        <v>0.036708029999999996</v>
      </c>
      <c r="W78" s="532"/>
      <c r="X78" s="532"/>
      <c r="Y78" s="532"/>
      <c r="Z78" s="76" t="s">
        <v>926</v>
      </c>
      <c r="AA78" s="6">
        <v>2014</v>
      </c>
      <c r="AB78" s="6"/>
      <c r="AC78" s="6"/>
      <c r="AD78" s="6"/>
      <c r="AE78" s="6"/>
    </row>
    <row r="79" spans="1:31" ht="39" customHeight="1">
      <c r="A79" s="19">
        <v>2</v>
      </c>
      <c r="B79" s="447" t="str">
        <f>'приложение 7.1'!B80</f>
        <v>РП-17 (для новой КТПН по ул.Пристанционная) г.Чебоксары</v>
      </c>
      <c r="C79" s="229">
        <f>'приложение 7.1'!D80</f>
        <v>0</v>
      </c>
      <c r="D79" s="229"/>
      <c r="E79" s="229">
        <f>C79*0.5</f>
        <v>0</v>
      </c>
      <c r="F79" s="229">
        <f>C79*0.45</f>
        <v>0</v>
      </c>
      <c r="G79" s="229">
        <f>C79*0.05</f>
        <v>0</v>
      </c>
      <c r="H79" s="229">
        <f>'приложение 7.1'!E80</f>
        <v>0.08661200000000001</v>
      </c>
      <c r="I79" s="229"/>
      <c r="J79" s="229">
        <f>H79*0.25</f>
        <v>0.021653000000000002</v>
      </c>
      <c r="K79" s="229">
        <f>H79*0.7</f>
        <v>0.0606284</v>
      </c>
      <c r="L79" s="229">
        <f>H79*0.05</f>
        <v>0.0043306</v>
      </c>
      <c r="M79" s="229">
        <f t="shared" si="56"/>
        <v>0.08661200000000001</v>
      </c>
      <c r="N79" s="229">
        <f t="shared" si="56"/>
        <v>0</v>
      </c>
      <c r="O79" s="229">
        <f t="shared" si="56"/>
        <v>0.021653000000000002</v>
      </c>
      <c r="P79" s="229">
        <f t="shared" si="56"/>
        <v>0.0606284</v>
      </c>
      <c r="Q79" s="229">
        <f t="shared" si="56"/>
        <v>0.0043306</v>
      </c>
      <c r="R79" s="229">
        <f>SUM(S79:V79)</f>
        <v>0.08661200000000001</v>
      </c>
      <c r="S79" s="229">
        <f t="shared" si="57"/>
        <v>0</v>
      </c>
      <c r="T79" s="229">
        <f t="shared" si="57"/>
        <v>0.021653000000000002</v>
      </c>
      <c r="U79" s="229">
        <f t="shared" si="57"/>
        <v>0.0606284</v>
      </c>
      <c r="V79" s="229">
        <f t="shared" si="57"/>
        <v>0.0043306</v>
      </c>
      <c r="W79" s="532"/>
      <c r="X79" s="532"/>
      <c r="Y79" s="532"/>
      <c r="Z79" s="76"/>
      <c r="AA79" s="6"/>
      <c r="AB79" s="6"/>
      <c r="AC79" s="6"/>
      <c r="AD79" s="6"/>
      <c r="AE79" s="6"/>
    </row>
    <row r="80" spans="1:31" ht="15.75">
      <c r="A80" s="278" t="s">
        <v>710</v>
      </c>
      <c r="B80" s="826" t="str">
        <f>'приложение 7.1'!B81</f>
        <v>ТП-6-10/0.4 кВ</v>
      </c>
      <c r="C80" s="290">
        <f>C81+C92+C94</f>
        <v>6.409028399999999</v>
      </c>
      <c r="D80" s="290">
        <f aca="true" t="shared" si="58" ref="D80:V80">D81+D92+D94</f>
        <v>0.3363</v>
      </c>
      <c r="E80" s="290">
        <f t="shared" si="58"/>
        <v>3.0363641999999995</v>
      </c>
      <c r="F80" s="290">
        <f t="shared" si="58"/>
        <v>2.7327277800000003</v>
      </c>
      <c r="G80" s="290">
        <f t="shared" si="58"/>
        <v>0.30363642</v>
      </c>
      <c r="H80" s="290">
        <f t="shared" si="58"/>
        <v>12.492435799999997</v>
      </c>
      <c r="I80" s="290">
        <f t="shared" si="58"/>
        <v>3.537474799999999</v>
      </c>
      <c r="J80" s="290">
        <f t="shared" si="58"/>
        <v>2.2387402499999998</v>
      </c>
      <c r="K80" s="290">
        <f t="shared" si="58"/>
        <v>6.268472699999999</v>
      </c>
      <c r="L80" s="290">
        <f t="shared" si="58"/>
        <v>0.44774805</v>
      </c>
      <c r="M80" s="290">
        <f t="shared" si="58"/>
        <v>6.0834074</v>
      </c>
      <c r="N80" s="290">
        <f t="shared" si="58"/>
        <v>3.2011747999999995</v>
      </c>
      <c r="O80" s="290">
        <f t="shared" si="58"/>
        <v>-0.7976239499999997</v>
      </c>
      <c r="P80" s="290">
        <f t="shared" si="58"/>
        <v>3.535744919999999</v>
      </c>
      <c r="Q80" s="290">
        <f t="shared" si="58"/>
        <v>0.14411163</v>
      </c>
      <c r="R80" s="290">
        <f t="shared" si="58"/>
        <v>12.492435799999997</v>
      </c>
      <c r="S80" s="290">
        <f t="shared" si="58"/>
        <v>3.537474799999999</v>
      </c>
      <c r="T80" s="290">
        <f t="shared" si="58"/>
        <v>2.2387402499999998</v>
      </c>
      <c r="U80" s="290">
        <f t="shared" si="58"/>
        <v>6.268472699999999</v>
      </c>
      <c r="V80" s="290">
        <f t="shared" si="58"/>
        <v>0.44774805</v>
      </c>
      <c r="W80" s="275"/>
      <c r="X80" s="275"/>
      <c r="Y80" s="275"/>
      <c r="Z80" s="275"/>
      <c r="AA80" s="275"/>
      <c r="AB80" s="275"/>
      <c r="AC80" s="275"/>
      <c r="AD80" s="275"/>
      <c r="AE80" s="275"/>
    </row>
    <row r="81" spans="1:31" s="16" customFormat="1" ht="30.75" customHeight="1">
      <c r="A81" s="841" t="s">
        <v>897</v>
      </c>
      <c r="B81" s="867" t="str">
        <f>'приложение 7.1'!B82</f>
        <v>г.Чебоксары</v>
      </c>
      <c r="C81" s="227">
        <f>SUM(C82:C91)</f>
        <v>3.6626491999999993</v>
      </c>
      <c r="D81" s="227">
        <f aca="true" t="shared" si="59" ref="D81:V81">SUM(D82:D91)</f>
        <v>0.3363</v>
      </c>
      <c r="E81" s="227">
        <f t="shared" si="59"/>
        <v>1.6631745999999998</v>
      </c>
      <c r="F81" s="227">
        <f t="shared" si="59"/>
        <v>1.49685714</v>
      </c>
      <c r="G81" s="227">
        <f t="shared" si="59"/>
        <v>0.16631746</v>
      </c>
      <c r="H81" s="227">
        <f t="shared" si="59"/>
        <v>9.270009199999999</v>
      </c>
      <c r="I81" s="227">
        <f t="shared" si="59"/>
        <v>3.537474799999999</v>
      </c>
      <c r="J81" s="227">
        <f t="shared" si="59"/>
        <v>1.4331336</v>
      </c>
      <c r="K81" s="227">
        <f t="shared" si="59"/>
        <v>4.01277408</v>
      </c>
      <c r="L81" s="227">
        <f t="shared" si="59"/>
        <v>0.28662672</v>
      </c>
      <c r="M81" s="227">
        <f t="shared" si="59"/>
        <v>5.60736</v>
      </c>
      <c r="N81" s="227">
        <f t="shared" si="59"/>
        <v>3.2011747999999995</v>
      </c>
      <c r="O81" s="227">
        <f t="shared" si="59"/>
        <v>-0.23004099999999983</v>
      </c>
      <c r="P81" s="227">
        <f t="shared" si="59"/>
        <v>2.5159169399999994</v>
      </c>
      <c r="Q81" s="227">
        <f t="shared" si="59"/>
        <v>0.12030926</v>
      </c>
      <c r="R81" s="227">
        <f t="shared" si="59"/>
        <v>9.270009199999999</v>
      </c>
      <c r="S81" s="227">
        <f t="shared" si="59"/>
        <v>3.537474799999999</v>
      </c>
      <c r="T81" s="227">
        <f t="shared" si="59"/>
        <v>1.4331336</v>
      </c>
      <c r="U81" s="227">
        <f t="shared" si="59"/>
        <v>4.01277408</v>
      </c>
      <c r="V81" s="227">
        <f t="shared" si="59"/>
        <v>0.28662672</v>
      </c>
      <c r="W81" s="156"/>
      <c r="X81" s="156"/>
      <c r="Y81" s="156"/>
      <c r="Z81" s="156"/>
      <c r="AA81" s="27"/>
      <c r="AB81" s="27"/>
      <c r="AC81" s="27"/>
      <c r="AD81" s="27"/>
      <c r="AE81" s="227"/>
    </row>
    <row r="82" spans="1:31" ht="54.75" customHeight="1">
      <c r="A82" s="19">
        <v>1</v>
      </c>
      <c r="B82" s="447" t="str">
        <f>'приложение 7.1'!B83</f>
        <v>ТП-216, ул.К.Маркса, 36А, г.Чебоксары</v>
      </c>
      <c r="C82" s="229">
        <f>'приложение 7.1'!D83</f>
        <v>3.3263491999999997</v>
      </c>
      <c r="D82" s="229"/>
      <c r="E82" s="229">
        <f>C82*0.5</f>
        <v>1.6631745999999998</v>
      </c>
      <c r="F82" s="229">
        <f>C82*0.45</f>
        <v>1.49685714</v>
      </c>
      <c r="G82" s="229">
        <f>C82*0.05</f>
        <v>0.16631746</v>
      </c>
      <c r="H82" s="229">
        <f>'приложение 7.1'!E83</f>
        <v>3.2337309999999997</v>
      </c>
      <c r="I82" s="229">
        <f>H82</f>
        <v>3.2337309999999997</v>
      </c>
      <c r="J82" s="229">
        <v>0</v>
      </c>
      <c r="K82" s="229">
        <v>0</v>
      </c>
      <c r="L82" s="242">
        <v>0</v>
      </c>
      <c r="M82" s="229">
        <f aca="true" t="shared" si="60" ref="M82:Q85">H82-C82</f>
        <v>-0.09261819999999998</v>
      </c>
      <c r="N82" s="229">
        <f t="shared" si="60"/>
        <v>3.2337309999999997</v>
      </c>
      <c r="O82" s="229">
        <f t="shared" si="60"/>
        <v>-1.6631745999999998</v>
      </c>
      <c r="P82" s="229">
        <f t="shared" si="60"/>
        <v>-1.49685714</v>
      </c>
      <c r="Q82" s="229">
        <f t="shared" si="60"/>
        <v>-0.16631746</v>
      </c>
      <c r="R82" s="229">
        <f aca="true" t="shared" si="61" ref="R82:R91">SUM(S82:V82)</f>
        <v>3.2337309999999997</v>
      </c>
      <c r="S82" s="229">
        <f aca="true" t="shared" si="62" ref="S82:V85">I82</f>
        <v>3.2337309999999997</v>
      </c>
      <c r="T82" s="229">
        <f t="shared" si="62"/>
        <v>0</v>
      </c>
      <c r="U82" s="229">
        <f t="shared" si="62"/>
        <v>0</v>
      </c>
      <c r="V82" s="229">
        <f t="shared" si="62"/>
        <v>0</v>
      </c>
      <c r="W82" s="532"/>
      <c r="X82" s="532"/>
      <c r="Y82" s="532"/>
      <c r="Z82" s="6" t="s">
        <v>927</v>
      </c>
      <c r="AA82" s="6">
        <v>2014</v>
      </c>
      <c r="AB82" s="6"/>
      <c r="AC82" s="6"/>
      <c r="AD82" s="6"/>
      <c r="AE82" s="6"/>
    </row>
    <row r="83" spans="1:31" ht="31.5">
      <c r="A83" s="19">
        <v>2</v>
      </c>
      <c r="B83" s="447" t="str">
        <f>'приложение 7.1'!B84</f>
        <v>ТП-277,  ул.Хевешская, 27А (разработка рабочей документации)</v>
      </c>
      <c r="C83" s="229">
        <f>'приложение 7.1'!D84</f>
        <v>0.11209999999999999</v>
      </c>
      <c r="D83" s="229">
        <f>C83</f>
        <v>0.11209999999999999</v>
      </c>
      <c r="E83" s="229">
        <v>0</v>
      </c>
      <c r="F83" s="229">
        <v>0</v>
      </c>
      <c r="G83" s="229">
        <v>0</v>
      </c>
      <c r="H83" s="229">
        <f>'приложение 7.1'!E84</f>
        <v>0.0881106</v>
      </c>
      <c r="I83" s="229">
        <f>H83</f>
        <v>0.0881106</v>
      </c>
      <c r="J83" s="229">
        <v>0</v>
      </c>
      <c r="K83" s="229">
        <v>0</v>
      </c>
      <c r="L83" s="242">
        <v>0</v>
      </c>
      <c r="M83" s="229">
        <f t="shared" si="60"/>
        <v>-0.023989399999999994</v>
      </c>
      <c r="N83" s="229">
        <f t="shared" si="60"/>
        <v>-0.023989399999999994</v>
      </c>
      <c r="O83" s="229">
        <f t="shared" si="60"/>
        <v>0</v>
      </c>
      <c r="P83" s="229">
        <f t="shared" si="60"/>
        <v>0</v>
      </c>
      <c r="Q83" s="229">
        <f t="shared" si="60"/>
        <v>0</v>
      </c>
      <c r="R83" s="229">
        <f t="shared" si="61"/>
        <v>0.0881106</v>
      </c>
      <c r="S83" s="229">
        <f t="shared" si="62"/>
        <v>0.0881106</v>
      </c>
      <c r="T83" s="229">
        <f t="shared" si="62"/>
        <v>0</v>
      </c>
      <c r="U83" s="229">
        <f t="shared" si="62"/>
        <v>0</v>
      </c>
      <c r="V83" s="229">
        <f t="shared" si="62"/>
        <v>0</v>
      </c>
      <c r="W83" s="532"/>
      <c r="X83" s="532"/>
      <c r="Y83" s="532"/>
      <c r="Z83" s="6" t="s">
        <v>928</v>
      </c>
      <c r="AA83" s="6">
        <v>2014</v>
      </c>
      <c r="AB83" s="6"/>
      <c r="AC83" s="6"/>
      <c r="AD83" s="6"/>
      <c r="AE83" s="6"/>
    </row>
    <row r="84" spans="1:31" ht="31.5">
      <c r="A84" s="19">
        <v>3</v>
      </c>
      <c r="B84" s="447" t="str">
        <f>'приложение 7.1'!B85</f>
        <v>ТП-153,  ул.Обиковская,567А, (разработка рабочей документации)</v>
      </c>
      <c r="C84" s="229">
        <f>'приложение 7.1'!D85</f>
        <v>0.11209999999999999</v>
      </c>
      <c r="D84" s="229">
        <f>C84</f>
        <v>0.11209999999999999</v>
      </c>
      <c r="E84" s="229">
        <v>0</v>
      </c>
      <c r="F84" s="229">
        <v>0</v>
      </c>
      <c r="G84" s="229">
        <v>0</v>
      </c>
      <c r="H84" s="229">
        <f>'приложение 7.1'!E85</f>
        <v>0.1057398</v>
      </c>
      <c r="I84" s="229">
        <f>H84</f>
        <v>0.1057398</v>
      </c>
      <c r="J84" s="229">
        <v>0</v>
      </c>
      <c r="K84" s="229">
        <v>0</v>
      </c>
      <c r="L84" s="242">
        <v>0</v>
      </c>
      <c r="M84" s="229">
        <f t="shared" si="60"/>
        <v>-0.006360199999999996</v>
      </c>
      <c r="N84" s="229">
        <f t="shared" si="60"/>
        <v>-0.006360199999999996</v>
      </c>
      <c r="O84" s="229">
        <f t="shared" si="60"/>
        <v>0</v>
      </c>
      <c r="P84" s="229">
        <f t="shared" si="60"/>
        <v>0</v>
      </c>
      <c r="Q84" s="229">
        <f t="shared" si="60"/>
        <v>0</v>
      </c>
      <c r="R84" s="229">
        <f t="shared" si="61"/>
        <v>0.1057398</v>
      </c>
      <c r="S84" s="229">
        <f t="shared" si="62"/>
        <v>0.1057398</v>
      </c>
      <c r="T84" s="229">
        <f t="shared" si="62"/>
        <v>0</v>
      </c>
      <c r="U84" s="229">
        <f t="shared" si="62"/>
        <v>0</v>
      </c>
      <c r="V84" s="229">
        <f t="shared" si="62"/>
        <v>0</v>
      </c>
      <c r="W84" s="532"/>
      <c r="X84" s="532"/>
      <c r="Y84" s="532"/>
      <c r="Z84" s="6" t="s">
        <v>929</v>
      </c>
      <c r="AA84" s="6">
        <v>2014</v>
      </c>
      <c r="AB84" s="6"/>
      <c r="AC84" s="6"/>
      <c r="AD84" s="6"/>
      <c r="AE84" s="6"/>
    </row>
    <row r="85" spans="1:31" ht="31.5">
      <c r="A85" s="19">
        <v>4</v>
      </c>
      <c r="B85" s="447" t="str">
        <f>'приложение 7.1'!B86</f>
        <v>ТП-232 пр.Мира, 22А (замена КСО и ЩО), разработка рабочей документации</v>
      </c>
      <c r="C85" s="229">
        <f>'приложение 7.1'!D86</f>
        <v>0.11209999999999999</v>
      </c>
      <c r="D85" s="229">
        <f>C85</f>
        <v>0.11209999999999999</v>
      </c>
      <c r="E85" s="229">
        <v>0</v>
      </c>
      <c r="F85" s="229">
        <v>0</v>
      </c>
      <c r="G85" s="229">
        <v>0</v>
      </c>
      <c r="H85" s="229">
        <f>'приложение 7.1'!E86</f>
        <v>0.1057398</v>
      </c>
      <c r="I85" s="229">
        <f>H85</f>
        <v>0.1057398</v>
      </c>
      <c r="J85" s="229">
        <v>0</v>
      </c>
      <c r="K85" s="229">
        <v>0</v>
      </c>
      <c r="L85" s="242">
        <v>0</v>
      </c>
      <c r="M85" s="229">
        <f t="shared" si="60"/>
        <v>-0.006360199999999996</v>
      </c>
      <c r="N85" s="229">
        <f t="shared" si="60"/>
        <v>-0.006360199999999996</v>
      </c>
      <c r="O85" s="229">
        <f t="shared" si="60"/>
        <v>0</v>
      </c>
      <c r="P85" s="229">
        <f t="shared" si="60"/>
        <v>0</v>
      </c>
      <c r="Q85" s="229">
        <f t="shared" si="60"/>
        <v>0</v>
      </c>
      <c r="R85" s="229">
        <f t="shared" si="61"/>
        <v>0.1057398</v>
      </c>
      <c r="S85" s="229">
        <f t="shared" si="62"/>
        <v>0.1057398</v>
      </c>
      <c r="T85" s="229">
        <f t="shared" si="62"/>
        <v>0</v>
      </c>
      <c r="U85" s="229">
        <f t="shared" si="62"/>
        <v>0</v>
      </c>
      <c r="V85" s="229">
        <f t="shared" si="62"/>
        <v>0</v>
      </c>
      <c r="W85" s="532"/>
      <c r="X85" s="532"/>
      <c r="Y85" s="532"/>
      <c r="Z85" s="6" t="s">
        <v>930</v>
      </c>
      <c r="AA85" s="6">
        <v>2014</v>
      </c>
      <c r="AB85" s="6"/>
      <c r="AC85" s="6"/>
      <c r="AD85" s="6"/>
      <c r="AE85" s="6"/>
    </row>
    <row r="86" spans="1:31" ht="31.5">
      <c r="A86" s="19">
        <v>5</v>
      </c>
      <c r="B86" s="447" t="str">
        <f>'приложение 7.1'!B87</f>
        <v>ТП-527, ул.Кирова</v>
      </c>
      <c r="C86" s="229">
        <f>'приложение 7.1'!D87</f>
        <v>0</v>
      </c>
      <c r="D86" s="229">
        <f>C86</f>
        <v>0</v>
      </c>
      <c r="E86" s="229">
        <v>0</v>
      </c>
      <c r="F86" s="229">
        <v>0</v>
      </c>
      <c r="G86" s="229">
        <v>0</v>
      </c>
      <c r="H86" s="229">
        <f>'приложение 7.1'!E87</f>
        <v>0.0041536</v>
      </c>
      <c r="I86" s="229">
        <f>H86</f>
        <v>0.0041536</v>
      </c>
      <c r="J86" s="229">
        <v>0</v>
      </c>
      <c r="K86" s="229">
        <v>0</v>
      </c>
      <c r="L86" s="242">
        <v>0</v>
      </c>
      <c r="M86" s="229">
        <f aca="true" t="shared" si="63" ref="M86:Q91">H86-C86</f>
        <v>0.0041536</v>
      </c>
      <c r="N86" s="229">
        <f t="shared" si="63"/>
        <v>0.0041536</v>
      </c>
      <c r="O86" s="229">
        <f t="shared" si="63"/>
        <v>0</v>
      </c>
      <c r="P86" s="229">
        <f t="shared" si="63"/>
        <v>0</v>
      </c>
      <c r="Q86" s="229">
        <f t="shared" si="63"/>
        <v>0</v>
      </c>
      <c r="R86" s="229">
        <f t="shared" si="61"/>
        <v>0.0041536</v>
      </c>
      <c r="S86" s="229">
        <f aca="true" t="shared" si="64" ref="S86:V91">I86</f>
        <v>0.0041536</v>
      </c>
      <c r="T86" s="229">
        <f t="shared" si="64"/>
        <v>0</v>
      </c>
      <c r="U86" s="229">
        <f t="shared" si="64"/>
        <v>0</v>
      </c>
      <c r="V86" s="229">
        <f t="shared" si="64"/>
        <v>0</v>
      </c>
      <c r="W86" s="532"/>
      <c r="X86" s="532"/>
      <c r="Y86" s="532"/>
      <c r="Z86" s="6" t="s">
        <v>930</v>
      </c>
      <c r="AA86" s="6">
        <v>2014</v>
      </c>
      <c r="AB86" s="6"/>
      <c r="AC86" s="6"/>
      <c r="AD86" s="6"/>
      <c r="AE86" s="6"/>
    </row>
    <row r="87" spans="1:31" ht="30" customHeight="1">
      <c r="A87" s="19">
        <v>6</v>
      </c>
      <c r="B87" s="447" t="str">
        <f>'приложение 7.1'!B88</f>
        <v>Реконструкция ТП-424</v>
      </c>
      <c r="C87" s="229">
        <f>'приложение 7.1'!D88</f>
        <v>0</v>
      </c>
      <c r="D87" s="229"/>
      <c r="E87" s="229">
        <f>C87*0.5</f>
        <v>0</v>
      </c>
      <c r="F87" s="229">
        <f>C87*0.45</f>
        <v>0</v>
      </c>
      <c r="G87" s="229">
        <f>C87*0.05</f>
        <v>0</v>
      </c>
      <c r="H87" s="229">
        <f>'приложение 7.1'!E88</f>
        <v>2.0237</v>
      </c>
      <c r="I87" s="229"/>
      <c r="J87" s="229">
        <f>H87*0.25</f>
        <v>0.505925</v>
      </c>
      <c r="K87" s="229">
        <f>H87*0.7</f>
        <v>1.4165899999999998</v>
      </c>
      <c r="L87" s="229">
        <f>H87*0.05</f>
        <v>0.101185</v>
      </c>
      <c r="M87" s="229">
        <f t="shared" si="63"/>
        <v>2.0237</v>
      </c>
      <c r="N87" s="229">
        <f t="shared" si="63"/>
        <v>0</v>
      </c>
      <c r="O87" s="229">
        <f t="shared" si="63"/>
        <v>0.505925</v>
      </c>
      <c r="P87" s="229">
        <f t="shared" si="63"/>
        <v>1.4165899999999998</v>
      </c>
      <c r="Q87" s="229">
        <f t="shared" si="63"/>
        <v>0.101185</v>
      </c>
      <c r="R87" s="229">
        <f t="shared" si="61"/>
        <v>2.0237</v>
      </c>
      <c r="S87" s="229">
        <f t="shared" si="64"/>
        <v>0</v>
      </c>
      <c r="T87" s="229">
        <f t="shared" si="64"/>
        <v>0.505925</v>
      </c>
      <c r="U87" s="229">
        <f t="shared" si="64"/>
        <v>1.4165899999999998</v>
      </c>
      <c r="V87" s="229">
        <f t="shared" si="64"/>
        <v>0.101185</v>
      </c>
      <c r="W87" s="532"/>
      <c r="X87" s="532"/>
      <c r="Y87" s="532"/>
      <c r="Z87" s="6" t="s">
        <v>1041</v>
      </c>
      <c r="AA87" s="6">
        <v>2014</v>
      </c>
      <c r="AB87" s="6"/>
      <c r="AC87" s="6"/>
      <c r="AD87" s="6"/>
      <c r="AE87" s="6"/>
    </row>
    <row r="88" spans="1:31" ht="30" customHeight="1">
      <c r="A88" s="19">
        <v>7</v>
      </c>
      <c r="B88" s="447" t="str">
        <f>'приложение 7.1'!B89</f>
        <v>Реконструкция ТП-196 (тр-р ТМГ-400/10)</v>
      </c>
      <c r="C88" s="229">
        <f>'приложение 7.1'!D89</f>
        <v>0</v>
      </c>
      <c r="D88" s="229"/>
      <c r="E88" s="229">
        <f>C88*0.5</f>
        <v>0</v>
      </c>
      <c r="F88" s="229">
        <f>C88*0.45</f>
        <v>0</v>
      </c>
      <c r="G88" s="229">
        <f>C88*0.05</f>
        <v>0</v>
      </c>
      <c r="H88" s="229">
        <f>'приложение 7.1'!E89</f>
        <v>0.28414399999999995</v>
      </c>
      <c r="I88" s="229"/>
      <c r="J88" s="229">
        <f>H88*0.25</f>
        <v>0.07103599999999999</v>
      </c>
      <c r="K88" s="229">
        <f>H88*0.7</f>
        <v>0.19890079999999996</v>
      </c>
      <c r="L88" s="229">
        <f>H88*0.05</f>
        <v>0.014207199999999998</v>
      </c>
      <c r="M88" s="229">
        <f t="shared" si="63"/>
        <v>0.28414399999999995</v>
      </c>
      <c r="N88" s="229">
        <f t="shared" si="63"/>
        <v>0</v>
      </c>
      <c r="O88" s="229">
        <f t="shared" si="63"/>
        <v>0.07103599999999999</v>
      </c>
      <c r="P88" s="229">
        <f t="shared" si="63"/>
        <v>0.19890079999999996</v>
      </c>
      <c r="Q88" s="229">
        <f t="shared" si="63"/>
        <v>0.014207199999999998</v>
      </c>
      <c r="R88" s="229">
        <f t="shared" si="61"/>
        <v>0.28414399999999995</v>
      </c>
      <c r="S88" s="229">
        <f t="shared" si="64"/>
        <v>0</v>
      </c>
      <c r="T88" s="229">
        <f t="shared" si="64"/>
        <v>0.07103599999999999</v>
      </c>
      <c r="U88" s="229">
        <f t="shared" si="64"/>
        <v>0.19890079999999996</v>
      </c>
      <c r="V88" s="229">
        <f t="shared" si="64"/>
        <v>0.014207199999999998</v>
      </c>
      <c r="W88" s="532"/>
      <c r="X88" s="532"/>
      <c r="Y88" s="532"/>
      <c r="Z88" s="6" t="s">
        <v>932</v>
      </c>
      <c r="AA88" s="6">
        <v>2014</v>
      </c>
      <c r="AB88" s="6"/>
      <c r="AC88" s="6"/>
      <c r="AD88" s="6"/>
      <c r="AE88" s="6"/>
    </row>
    <row r="89" spans="1:31" ht="30" customHeight="1">
      <c r="A89" s="19">
        <v>8</v>
      </c>
      <c r="B89" s="447" t="str">
        <f>'приложение 7.1'!B90</f>
        <v>Реконструкция ТП-477 (тр-р ТМГ-630/10-2 шт)</v>
      </c>
      <c r="C89" s="229">
        <f>'приложение 7.1'!D90</f>
        <v>0</v>
      </c>
      <c r="D89" s="229"/>
      <c r="E89" s="229">
        <f>C89*0.5</f>
        <v>0</v>
      </c>
      <c r="F89" s="229">
        <f>C89*0.45</f>
        <v>0</v>
      </c>
      <c r="G89" s="229">
        <f>C89*0.05</f>
        <v>0</v>
      </c>
      <c r="H89" s="229">
        <f>'приложение 7.1'!E90</f>
        <v>0.788771</v>
      </c>
      <c r="I89" s="229"/>
      <c r="J89" s="229">
        <f>H89*0.25</f>
        <v>0.19719275</v>
      </c>
      <c r="K89" s="229">
        <f>H89*0.7</f>
        <v>0.5521397</v>
      </c>
      <c r="L89" s="229">
        <f>H89*0.05</f>
        <v>0.03943855</v>
      </c>
      <c r="M89" s="229">
        <f t="shared" si="63"/>
        <v>0.788771</v>
      </c>
      <c r="N89" s="229">
        <f t="shared" si="63"/>
        <v>0</v>
      </c>
      <c r="O89" s="229">
        <f t="shared" si="63"/>
        <v>0.19719275</v>
      </c>
      <c r="P89" s="229">
        <f t="shared" si="63"/>
        <v>0.5521397</v>
      </c>
      <c r="Q89" s="229">
        <f t="shared" si="63"/>
        <v>0.03943855</v>
      </c>
      <c r="R89" s="229">
        <f t="shared" si="61"/>
        <v>0.788771</v>
      </c>
      <c r="S89" s="229">
        <f t="shared" si="64"/>
        <v>0</v>
      </c>
      <c r="T89" s="229">
        <f t="shared" si="64"/>
        <v>0.19719275</v>
      </c>
      <c r="U89" s="229">
        <f t="shared" si="64"/>
        <v>0.5521397</v>
      </c>
      <c r="V89" s="229">
        <f t="shared" si="64"/>
        <v>0.03943855</v>
      </c>
      <c r="W89" s="532"/>
      <c r="X89" s="532"/>
      <c r="Y89" s="532"/>
      <c r="Z89" s="6" t="s">
        <v>1042</v>
      </c>
      <c r="AA89" s="6">
        <v>2014</v>
      </c>
      <c r="AB89" s="6"/>
      <c r="AC89" s="6"/>
      <c r="AD89" s="6"/>
      <c r="AE89" s="6"/>
    </row>
    <row r="90" spans="1:31" ht="30" customHeight="1">
      <c r="A90" s="19">
        <v>9</v>
      </c>
      <c r="B90" s="447" t="str">
        <f>'приложение 7.1'!B91</f>
        <v>Реконструкция ТП-480 (тр-р ТМГ-630/10-1 шт)</v>
      </c>
      <c r="C90" s="229">
        <f>'приложение 7.1'!D91</f>
        <v>0</v>
      </c>
      <c r="D90" s="229"/>
      <c r="E90" s="229">
        <f>C90*0.5</f>
        <v>0</v>
      </c>
      <c r="F90" s="229">
        <f>C90*0.45</f>
        <v>0</v>
      </c>
      <c r="G90" s="229">
        <f>C90*0.05</f>
        <v>0</v>
      </c>
      <c r="H90" s="229">
        <f>'приложение 7.1'!E91</f>
        <v>0.413413</v>
      </c>
      <c r="I90" s="229"/>
      <c r="J90" s="229">
        <f>H90*0.25</f>
        <v>0.10335325</v>
      </c>
      <c r="K90" s="229">
        <f>H90*0.7</f>
        <v>0.28938909999999995</v>
      </c>
      <c r="L90" s="229">
        <f>H90*0.05</f>
        <v>0.02067065</v>
      </c>
      <c r="M90" s="229">
        <f t="shared" si="63"/>
        <v>0.413413</v>
      </c>
      <c r="N90" s="229">
        <f t="shared" si="63"/>
        <v>0</v>
      </c>
      <c r="O90" s="229">
        <f t="shared" si="63"/>
        <v>0.10335325</v>
      </c>
      <c r="P90" s="229">
        <f t="shared" si="63"/>
        <v>0.28938909999999995</v>
      </c>
      <c r="Q90" s="229">
        <f t="shared" si="63"/>
        <v>0.02067065</v>
      </c>
      <c r="R90" s="229">
        <f t="shared" si="61"/>
        <v>0.413413</v>
      </c>
      <c r="S90" s="229">
        <f t="shared" si="64"/>
        <v>0</v>
      </c>
      <c r="T90" s="229">
        <f t="shared" si="64"/>
        <v>0.10335325</v>
      </c>
      <c r="U90" s="229">
        <f t="shared" si="64"/>
        <v>0.28938909999999995</v>
      </c>
      <c r="V90" s="229">
        <f t="shared" si="64"/>
        <v>0.02067065</v>
      </c>
      <c r="W90" s="532"/>
      <c r="X90" s="532"/>
      <c r="Y90" s="532"/>
      <c r="Z90" s="6" t="s">
        <v>1043</v>
      </c>
      <c r="AA90" s="6">
        <v>2014</v>
      </c>
      <c r="AB90" s="6"/>
      <c r="AC90" s="6"/>
      <c r="AD90" s="6"/>
      <c r="AE90" s="6"/>
    </row>
    <row r="91" spans="1:31" ht="30" customHeight="1">
      <c r="A91" s="19">
        <v>10</v>
      </c>
      <c r="B91" s="447" t="str">
        <f>'приложение 7.1'!B92</f>
        <v>Реконструкция ТП-450</v>
      </c>
      <c r="C91" s="229">
        <f>'приложение 7.1'!D92</f>
        <v>0</v>
      </c>
      <c r="D91" s="229"/>
      <c r="E91" s="229">
        <f>C91*0.5</f>
        <v>0</v>
      </c>
      <c r="F91" s="229">
        <f>C91*0.45</f>
        <v>0</v>
      </c>
      <c r="G91" s="229">
        <f>C91*0.05</f>
        <v>0</v>
      </c>
      <c r="H91" s="229">
        <f>'приложение 7.1'!E92</f>
        <v>2.2225064</v>
      </c>
      <c r="I91" s="229"/>
      <c r="J91" s="229">
        <f>H91*0.25</f>
        <v>0.5556266</v>
      </c>
      <c r="K91" s="229">
        <f>H91*0.7</f>
        <v>1.5557544799999998</v>
      </c>
      <c r="L91" s="229">
        <f>H91*0.05</f>
        <v>0.11112532</v>
      </c>
      <c r="M91" s="229">
        <f t="shared" si="63"/>
        <v>2.2225064</v>
      </c>
      <c r="N91" s="229">
        <f t="shared" si="63"/>
        <v>0</v>
      </c>
      <c r="O91" s="229">
        <f t="shared" si="63"/>
        <v>0.5556266</v>
      </c>
      <c r="P91" s="229">
        <f t="shared" si="63"/>
        <v>1.5557544799999998</v>
      </c>
      <c r="Q91" s="229">
        <f t="shared" si="63"/>
        <v>0.11112532</v>
      </c>
      <c r="R91" s="229">
        <f t="shared" si="61"/>
        <v>2.2225064</v>
      </c>
      <c r="S91" s="229">
        <f t="shared" si="64"/>
        <v>0</v>
      </c>
      <c r="T91" s="229">
        <f t="shared" si="64"/>
        <v>0.5556266</v>
      </c>
      <c r="U91" s="229">
        <f t="shared" si="64"/>
        <v>1.5557544799999998</v>
      </c>
      <c r="V91" s="229">
        <f t="shared" si="64"/>
        <v>0.11112532</v>
      </c>
      <c r="W91" s="532"/>
      <c r="X91" s="532"/>
      <c r="Y91" s="532"/>
      <c r="Z91" s="6" t="s">
        <v>1043</v>
      </c>
      <c r="AA91" s="6">
        <v>2014</v>
      </c>
      <c r="AB91" s="6"/>
      <c r="AC91" s="6"/>
      <c r="AD91" s="6"/>
      <c r="AE91" s="6"/>
    </row>
    <row r="92" spans="1:31" s="16" customFormat="1" ht="30.75" customHeight="1">
      <c r="A92" s="841" t="s">
        <v>899</v>
      </c>
      <c r="B92" s="867" t="str">
        <f>'приложение 7.1'!B93</f>
        <v>г.Цивильск</v>
      </c>
      <c r="C92" s="227">
        <f>C93</f>
        <v>2.5233592</v>
      </c>
      <c r="D92" s="227"/>
      <c r="E92" s="227">
        <f>E93</f>
        <v>1.2616796</v>
      </c>
      <c r="F92" s="227">
        <f>F93</f>
        <v>1.13551164</v>
      </c>
      <c r="G92" s="227">
        <f>G93</f>
        <v>0.12616796</v>
      </c>
      <c r="H92" s="227">
        <f>H93</f>
        <v>2.6378782</v>
      </c>
      <c r="I92" s="227"/>
      <c r="J92" s="227">
        <f aca="true" t="shared" si="65" ref="J92:V92">J93</f>
        <v>0.65946955</v>
      </c>
      <c r="K92" s="227">
        <f t="shared" si="65"/>
        <v>1.8465147399999997</v>
      </c>
      <c r="L92" s="227">
        <f t="shared" si="65"/>
        <v>0.13189391</v>
      </c>
      <c r="M92" s="227">
        <f t="shared" si="65"/>
        <v>0.11451900000000004</v>
      </c>
      <c r="N92" s="227">
        <f t="shared" si="65"/>
        <v>0</v>
      </c>
      <c r="O92" s="227">
        <f t="shared" si="65"/>
        <v>-0.6022100499999999</v>
      </c>
      <c r="P92" s="227">
        <f t="shared" si="65"/>
        <v>0.7110030999999997</v>
      </c>
      <c r="Q92" s="227">
        <f t="shared" si="65"/>
        <v>0.005725950000000007</v>
      </c>
      <c r="R92" s="227">
        <f t="shared" si="65"/>
        <v>2.6378782</v>
      </c>
      <c r="S92" s="227">
        <f t="shared" si="65"/>
        <v>0</v>
      </c>
      <c r="T92" s="227">
        <f t="shared" si="65"/>
        <v>0.65946955</v>
      </c>
      <c r="U92" s="227">
        <f t="shared" si="65"/>
        <v>1.8465147399999997</v>
      </c>
      <c r="V92" s="227">
        <f t="shared" si="65"/>
        <v>0.13189391</v>
      </c>
      <c r="W92" s="156"/>
      <c r="X92" s="156"/>
      <c r="Y92" s="156"/>
      <c r="Z92" s="156"/>
      <c r="AA92" s="27"/>
      <c r="AB92" s="27"/>
      <c r="AC92" s="27"/>
      <c r="AD92" s="27"/>
      <c r="AE92" s="227"/>
    </row>
    <row r="93" spans="1:31" ht="15.75">
      <c r="A93" s="19">
        <v>1</v>
      </c>
      <c r="B93" s="447" t="str">
        <f>'приложение 7.1'!B94</f>
        <v>ТП-27 (установка нового ТП)</v>
      </c>
      <c r="C93" s="229">
        <f>'приложение 7.1'!D94</f>
        <v>2.5233592</v>
      </c>
      <c r="D93" s="229"/>
      <c r="E93" s="229">
        <f>C93*0.5</f>
        <v>1.2616796</v>
      </c>
      <c r="F93" s="229">
        <f>C93*0.45</f>
        <v>1.13551164</v>
      </c>
      <c r="G93" s="229">
        <f>C93*0.05</f>
        <v>0.12616796</v>
      </c>
      <c r="H93" s="229">
        <f>'приложение 7.1'!E94</f>
        <v>2.6378782</v>
      </c>
      <c r="I93" s="229"/>
      <c r="J93" s="229">
        <f>H93*0.25</f>
        <v>0.65946955</v>
      </c>
      <c r="K93" s="229">
        <f>H93*0.7</f>
        <v>1.8465147399999997</v>
      </c>
      <c r="L93" s="229">
        <f>H93*0.05</f>
        <v>0.13189391</v>
      </c>
      <c r="M93" s="229">
        <f>H93-C93</f>
        <v>0.11451900000000004</v>
      </c>
      <c r="N93" s="229">
        <f>I93-D93</f>
        <v>0</v>
      </c>
      <c r="O93" s="229">
        <f>J93-E93</f>
        <v>-0.6022100499999999</v>
      </c>
      <c r="P93" s="229">
        <f>K93-F93</f>
        <v>0.7110030999999997</v>
      </c>
      <c r="Q93" s="229">
        <f>L93-G93</f>
        <v>0.005725950000000007</v>
      </c>
      <c r="R93" s="229">
        <f>SUM(S93:V93)</f>
        <v>2.6378782</v>
      </c>
      <c r="S93" s="229">
        <f>I93</f>
        <v>0</v>
      </c>
      <c r="T93" s="229">
        <f>J93</f>
        <v>0.65946955</v>
      </c>
      <c r="U93" s="229">
        <f>K93</f>
        <v>1.8465147399999997</v>
      </c>
      <c r="V93" s="229">
        <f>L93</f>
        <v>0.13189391</v>
      </c>
      <c r="W93" s="532"/>
      <c r="X93" s="532"/>
      <c r="Y93" s="532"/>
      <c r="Z93" s="76" t="s">
        <v>931</v>
      </c>
      <c r="AA93" s="6">
        <v>2014</v>
      </c>
      <c r="AB93" s="6"/>
      <c r="AC93" s="6"/>
      <c r="AD93" s="6"/>
      <c r="AE93" s="6"/>
    </row>
    <row r="94" spans="1:31" s="16" customFormat="1" ht="30.75" customHeight="1">
      <c r="A94" s="841" t="s">
        <v>898</v>
      </c>
      <c r="B94" s="867" t="str">
        <f>'приложение 7.1'!B95</f>
        <v>г.Мариинский Посад</v>
      </c>
      <c r="C94" s="227">
        <f>C95+C96</f>
        <v>0.22302</v>
      </c>
      <c r="D94" s="227"/>
      <c r="E94" s="227">
        <f>E95+E96</f>
        <v>0.11151</v>
      </c>
      <c r="F94" s="227">
        <f>F95+F96</f>
        <v>0.100359</v>
      </c>
      <c r="G94" s="227">
        <f>G95+G96</f>
        <v>0.011151000000000001</v>
      </c>
      <c r="H94" s="227">
        <f>H95+H96</f>
        <v>0.5845484</v>
      </c>
      <c r="I94" s="227"/>
      <c r="J94" s="227">
        <f aca="true" t="shared" si="66" ref="J94:V94">J95+J96</f>
        <v>0.1461371</v>
      </c>
      <c r="K94" s="227">
        <f t="shared" si="66"/>
        <v>0.40918387999999994</v>
      </c>
      <c r="L94" s="227">
        <f t="shared" si="66"/>
        <v>0.029227419999999997</v>
      </c>
      <c r="M94" s="227">
        <f t="shared" si="66"/>
        <v>0.36152839999999997</v>
      </c>
      <c r="N94" s="227">
        <f t="shared" si="66"/>
        <v>0</v>
      </c>
      <c r="O94" s="227">
        <f t="shared" si="66"/>
        <v>0.034627099999999994</v>
      </c>
      <c r="P94" s="227">
        <f t="shared" si="66"/>
        <v>0.30882487999999997</v>
      </c>
      <c r="Q94" s="227">
        <f t="shared" si="66"/>
        <v>0.018076419999999996</v>
      </c>
      <c r="R94" s="227">
        <f t="shared" si="66"/>
        <v>0.5845483999999999</v>
      </c>
      <c r="S94" s="227">
        <f t="shared" si="66"/>
        <v>0</v>
      </c>
      <c r="T94" s="227">
        <f t="shared" si="66"/>
        <v>0.1461371</v>
      </c>
      <c r="U94" s="227">
        <f t="shared" si="66"/>
        <v>0.40918387999999994</v>
      </c>
      <c r="V94" s="227">
        <f t="shared" si="66"/>
        <v>0.029227419999999997</v>
      </c>
      <c r="W94" s="156"/>
      <c r="X94" s="156"/>
      <c r="Y94" s="156"/>
      <c r="Z94" s="156"/>
      <c r="AA94" s="27"/>
      <c r="AB94" s="27"/>
      <c r="AC94" s="27"/>
      <c r="AD94" s="27"/>
      <c r="AE94" s="227"/>
    </row>
    <row r="95" spans="1:31" ht="49.5" customHeight="1">
      <c r="A95" s="19">
        <v>1</v>
      </c>
      <c r="B95" s="447" t="str">
        <f>'приложение 7.1'!B96</f>
        <v>Реконструкция силового оборудования ТП-15 (замена ТМ-560 кВА на ТМГ-400)</v>
      </c>
      <c r="C95" s="229">
        <f>'приложение 7.1'!D96</f>
        <v>0.22302</v>
      </c>
      <c r="D95" s="229"/>
      <c r="E95" s="229">
        <f>C95*0.5</f>
        <v>0.11151</v>
      </c>
      <c r="F95" s="229">
        <f>C95*0.45</f>
        <v>0.100359</v>
      </c>
      <c r="G95" s="229">
        <f>C95*0.05</f>
        <v>0.011151000000000001</v>
      </c>
      <c r="H95" s="229">
        <f>'приложение 7.1'!E96</f>
        <v>0.252225</v>
      </c>
      <c r="I95" s="229"/>
      <c r="J95" s="229">
        <f>H95*0.25</f>
        <v>0.06305625</v>
      </c>
      <c r="K95" s="229">
        <f>H95*0.7</f>
        <v>0.17655749999999998</v>
      </c>
      <c r="L95" s="229">
        <f>H95*0.05</f>
        <v>0.01261125</v>
      </c>
      <c r="M95" s="229">
        <f aca="true" t="shared" si="67" ref="M95:Q96">H95-C95</f>
        <v>0.02920499999999998</v>
      </c>
      <c r="N95" s="229">
        <f t="shared" si="67"/>
        <v>0</v>
      </c>
      <c r="O95" s="229">
        <f t="shared" si="67"/>
        <v>-0.048453750000000004</v>
      </c>
      <c r="P95" s="229">
        <f t="shared" si="67"/>
        <v>0.07619849999999997</v>
      </c>
      <c r="Q95" s="229">
        <f t="shared" si="67"/>
        <v>0.001460249999999998</v>
      </c>
      <c r="R95" s="229">
        <f>SUM(S95:V95)</f>
        <v>0.252225</v>
      </c>
      <c r="S95" s="229">
        <f aca="true" t="shared" si="68" ref="S95:V96">I95</f>
        <v>0</v>
      </c>
      <c r="T95" s="229">
        <f t="shared" si="68"/>
        <v>0.06305625</v>
      </c>
      <c r="U95" s="229">
        <f t="shared" si="68"/>
        <v>0.17655749999999998</v>
      </c>
      <c r="V95" s="229">
        <f t="shared" si="68"/>
        <v>0.01261125</v>
      </c>
      <c r="W95" s="532"/>
      <c r="X95" s="532"/>
      <c r="Y95" s="532"/>
      <c r="Z95" s="76" t="s">
        <v>932</v>
      </c>
      <c r="AA95" s="6">
        <v>2014</v>
      </c>
      <c r="AB95" s="6"/>
      <c r="AC95" s="6"/>
      <c r="AD95" s="6"/>
      <c r="AE95" s="6"/>
    </row>
    <row r="96" spans="1:31" ht="33" customHeight="1">
      <c r="A96" s="19">
        <v>2</v>
      </c>
      <c r="B96" s="447" t="str">
        <f>'приложение 7.1'!B97</f>
        <v>Реконструкция ТП-23, ул.Курчатова, 12а </v>
      </c>
      <c r="C96" s="229">
        <f>'приложение 7.1'!D97</f>
        <v>0</v>
      </c>
      <c r="D96" s="229"/>
      <c r="E96" s="229">
        <v>0</v>
      </c>
      <c r="F96" s="229">
        <v>0</v>
      </c>
      <c r="G96" s="229">
        <v>0</v>
      </c>
      <c r="H96" s="229">
        <f>'приложение 7.1'!E97</f>
        <v>0.3323234</v>
      </c>
      <c r="I96" s="229"/>
      <c r="J96" s="229">
        <f>H96*0.25</f>
        <v>0.08308085</v>
      </c>
      <c r="K96" s="229">
        <f>H96*0.7</f>
        <v>0.23262637999999997</v>
      </c>
      <c r="L96" s="229">
        <f>H96*0.05</f>
        <v>0.01661617</v>
      </c>
      <c r="M96" s="229">
        <f t="shared" si="67"/>
        <v>0.3323234</v>
      </c>
      <c r="N96" s="229">
        <f t="shared" si="67"/>
        <v>0</v>
      </c>
      <c r="O96" s="229">
        <f t="shared" si="67"/>
        <v>0.08308085</v>
      </c>
      <c r="P96" s="229">
        <f t="shared" si="67"/>
        <v>0.23262637999999997</v>
      </c>
      <c r="Q96" s="229">
        <f t="shared" si="67"/>
        <v>0.01661617</v>
      </c>
      <c r="R96" s="229">
        <f>SUM(S96:V96)</f>
        <v>0.33232339999999994</v>
      </c>
      <c r="S96" s="229">
        <f t="shared" si="68"/>
        <v>0</v>
      </c>
      <c r="T96" s="229">
        <f t="shared" si="68"/>
        <v>0.08308085</v>
      </c>
      <c r="U96" s="229">
        <f t="shared" si="68"/>
        <v>0.23262637999999997</v>
      </c>
      <c r="V96" s="229">
        <f t="shared" si="68"/>
        <v>0.01661617</v>
      </c>
      <c r="W96" s="532"/>
      <c r="X96" s="532"/>
      <c r="Y96" s="532"/>
      <c r="Z96" s="76" t="s">
        <v>932</v>
      </c>
      <c r="AA96" s="6">
        <v>2014</v>
      </c>
      <c r="AB96" s="6"/>
      <c r="AC96" s="6"/>
      <c r="AD96" s="6"/>
      <c r="AE96" s="6"/>
    </row>
    <row r="97" spans="1:31" s="827" customFormat="1" ht="78.75">
      <c r="A97" s="822" t="s">
        <v>640</v>
      </c>
      <c r="B97" s="823" t="str">
        <f>'приложение 7.1'!B98</f>
        <v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v>
      </c>
      <c r="C97" s="824">
        <v>0</v>
      </c>
      <c r="D97" s="824">
        <v>0</v>
      </c>
      <c r="E97" s="824">
        <v>0</v>
      </c>
      <c r="F97" s="824">
        <v>0</v>
      </c>
      <c r="G97" s="824">
        <v>0</v>
      </c>
      <c r="H97" s="824">
        <v>0</v>
      </c>
      <c r="I97" s="824">
        <v>0</v>
      </c>
      <c r="J97" s="824">
        <v>0</v>
      </c>
      <c r="K97" s="824">
        <v>0</v>
      </c>
      <c r="L97" s="824">
        <v>0</v>
      </c>
      <c r="M97" s="824">
        <v>0</v>
      </c>
      <c r="N97" s="824">
        <v>0</v>
      </c>
      <c r="O97" s="824">
        <v>0</v>
      </c>
      <c r="P97" s="824">
        <v>0</v>
      </c>
      <c r="Q97" s="824">
        <v>0</v>
      </c>
      <c r="R97" s="824">
        <v>0</v>
      </c>
      <c r="S97" s="824">
        <v>0</v>
      </c>
      <c r="T97" s="824">
        <v>0</v>
      </c>
      <c r="U97" s="824">
        <v>0</v>
      </c>
      <c r="V97" s="824">
        <v>0</v>
      </c>
      <c r="W97" s="828"/>
      <c r="X97" s="828"/>
      <c r="Y97" s="828"/>
      <c r="Z97" s="828"/>
      <c r="AA97" s="828"/>
      <c r="AB97" s="828"/>
      <c r="AC97" s="828"/>
      <c r="AD97" s="828"/>
      <c r="AE97" s="828"/>
    </row>
    <row r="98" spans="1:31" ht="15.75">
      <c r="A98" s="19"/>
      <c r="B98" s="447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532"/>
      <c r="X98" s="532"/>
      <c r="Y98" s="532"/>
      <c r="Z98" s="6"/>
      <c r="AA98" s="6"/>
      <c r="AB98" s="6"/>
      <c r="AC98" s="6"/>
      <c r="AD98" s="6"/>
      <c r="AE98" s="6"/>
    </row>
    <row r="99" spans="1:31" ht="15.75">
      <c r="A99" s="279" t="s">
        <v>614</v>
      </c>
      <c r="B99" s="214" t="str">
        <f>'приложение 7.1'!B100</f>
        <v>Новое строительство</v>
      </c>
      <c r="C99" s="289">
        <f aca="true" t="shared" si="69" ref="C99:V99">C100+C104</f>
        <v>63.059341599999996</v>
      </c>
      <c r="D99" s="289">
        <f t="shared" si="69"/>
        <v>0.7669999999999999</v>
      </c>
      <c r="E99" s="289">
        <f t="shared" si="69"/>
        <v>31.146170799999997</v>
      </c>
      <c r="F99" s="289">
        <f t="shared" si="69"/>
        <v>28.03155372</v>
      </c>
      <c r="G99" s="289">
        <f t="shared" si="69"/>
        <v>3.11461708</v>
      </c>
      <c r="H99" s="289">
        <f t="shared" si="69"/>
        <v>50.6190212316</v>
      </c>
      <c r="I99" s="289">
        <f t="shared" si="69"/>
        <v>0</v>
      </c>
      <c r="J99" s="289">
        <f t="shared" si="69"/>
        <v>17.0418966658</v>
      </c>
      <c r="K99" s="289">
        <f t="shared" si="69"/>
        <v>31.046173504219993</v>
      </c>
      <c r="L99" s="289">
        <f t="shared" si="69"/>
        <v>2.5309510615799997</v>
      </c>
      <c r="M99" s="289">
        <f t="shared" si="69"/>
        <v>-12.440320368400007</v>
      </c>
      <c r="N99" s="289">
        <f t="shared" si="69"/>
        <v>-0.7669999999999999</v>
      </c>
      <c r="O99" s="289">
        <f t="shared" si="69"/>
        <v>-14.104274134199999</v>
      </c>
      <c r="P99" s="289">
        <f t="shared" si="69"/>
        <v>3.0146197842199958</v>
      </c>
      <c r="Q99" s="289">
        <f t="shared" si="69"/>
        <v>-0.5836660184200001</v>
      </c>
      <c r="R99" s="289">
        <f t="shared" si="69"/>
        <v>50.6190212316</v>
      </c>
      <c r="S99" s="289">
        <f t="shared" si="69"/>
        <v>0</v>
      </c>
      <c r="T99" s="289">
        <f t="shared" si="69"/>
        <v>17.0418966658</v>
      </c>
      <c r="U99" s="289">
        <f t="shared" si="69"/>
        <v>31.046173504219993</v>
      </c>
      <c r="V99" s="289">
        <f t="shared" si="69"/>
        <v>2.5309510615799997</v>
      </c>
      <c r="W99" s="214"/>
      <c r="X99" s="214"/>
      <c r="Y99" s="214"/>
      <c r="Z99" s="214"/>
      <c r="AA99" s="214"/>
      <c r="AB99" s="214"/>
      <c r="AC99" s="214"/>
      <c r="AD99" s="214"/>
      <c r="AE99" s="214"/>
    </row>
    <row r="100" spans="1:31" s="827" customFormat="1" ht="15.75">
      <c r="A100" s="822" t="s">
        <v>615</v>
      </c>
      <c r="B100" s="823" t="str">
        <f>'приложение 7.1'!B101</f>
        <v>Прочее новое строительство</v>
      </c>
      <c r="C100" s="824">
        <f aca="true" t="shared" si="70" ref="C100:V100">C101+C102+C103</f>
        <v>0</v>
      </c>
      <c r="D100" s="824">
        <f t="shared" si="70"/>
        <v>0</v>
      </c>
      <c r="E100" s="824">
        <f t="shared" si="70"/>
        <v>0</v>
      </c>
      <c r="F100" s="824">
        <f t="shared" si="70"/>
        <v>0</v>
      </c>
      <c r="G100" s="824">
        <f t="shared" si="70"/>
        <v>0</v>
      </c>
      <c r="H100" s="824">
        <f t="shared" si="70"/>
        <v>0</v>
      </c>
      <c r="I100" s="824">
        <f t="shared" si="70"/>
        <v>0</v>
      </c>
      <c r="J100" s="824">
        <f t="shared" si="70"/>
        <v>0</v>
      </c>
      <c r="K100" s="824">
        <f t="shared" si="70"/>
        <v>0</v>
      </c>
      <c r="L100" s="824">
        <f t="shared" si="70"/>
        <v>0</v>
      </c>
      <c r="M100" s="824">
        <f t="shared" si="70"/>
        <v>0</v>
      </c>
      <c r="N100" s="824">
        <f t="shared" si="70"/>
        <v>0</v>
      </c>
      <c r="O100" s="824">
        <f t="shared" si="70"/>
        <v>0</v>
      </c>
      <c r="P100" s="824">
        <f t="shared" si="70"/>
        <v>0</v>
      </c>
      <c r="Q100" s="824">
        <f t="shared" si="70"/>
        <v>0</v>
      </c>
      <c r="R100" s="824">
        <f t="shared" si="70"/>
        <v>0</v>
      </c>
      <c r="S100" s="824">
        <f t="shared" si="70"/>
        <v>0</v>
      </c>
      <c r="T100" s="824">
        <f t="shared" si="70"/>
        <v>0</v>
      </c>
      <c r="U100" s="824">
        <f t="shared" si="70"/>
        <v>0</v>
      </c>
      <c r="V100" s="824">
        <f t="shared" si="70"/>
        <v>0</v>
      </c>
      <c r="W100" s="828"/>
      <c r="X100" s="828"/>
      <c r="Y100" s="828"/>
      <c r="Z100" s="828"/>
      <c r="AA100" s="828"/>
      <c r="AB100" s="828"/>
      <c r="AC100" s="828"/>
      <c r="AD100" s="828"/>
      <c r="AE100" s="828"/>
    </row>
    <row r="101" spans="1:31" ht="15.75">
      <c r="A101" s="278" t="s">
        <v>678</v>
      </c>
      <c r="B101" s="826" t="str">
        <f>'приложение 7.1'!B102</f>
        <v>КЛ-6-10 кВ</v>
      </c>
      <c r="C101" s="290">
        <v>0</v>
      </c>
      <c r="D101" s="290">
        <v>0</v>
      </c>
      <c r="E101" s="290">
        <v>0</v>
      </c>
      <c r="F101" s="290">
        <v>0</v>
      </c>
      <c r="G101" s="290">
        <v>0</v>
      </c>
      <c r="H101" s="290">
        <v>0</v>
      </c>
      <c r="I101" s="290">
        <v>0</v>
      </c>
      <c r="J101" s="290">
        <v>0</v>
      </c>
      <c r="K101" s="290">
        <v>0</v>
      </c>
      <c r="L101" s="290">
        <v>0</v>
      </c>
      <c r="M101" s="290">
        <v>0</v>
      </c>
      <c r="N101" s="290">
        <v>0</v>
      </c>
      <c r="O101" s="290">
        <v>0</v>
      </c>
      <c r="P101" s="290">
        <v>0</v>
      </c>
      <c r="Q101" s="290">
        <v>0</v>
      </c>
      <c r="R101" s="290">
        <v>0</v>
      </c>
      <c r="S101" s="290">
        <v>0</v>
      </c>
      <c r="T101" s="290">
        <v>0</v>
      </c>
      <c r="U101" s="290">
        <v>0</v>
      </c>
      <c r="V101" s="290">
        <v>0</v>
      </c>
      <c r="W101" s="275"/>
      <c r="X101" s="275"/>
      <c r="Y101" s="275"/>
      <c r="Z101" s="275"/>
      <c r="AA101" s="275"/>
      <c r="AB101" s="275"/>
      <c r="AC101" s="275"/>
      <c r="AD101" s="275"/>
      <c r="AE101" s="275"/>
    </row>
    <row r="102" spans="1:31" ht="15.75">
      <c r="A102" s="278" t="s">
        <v>679</v>
      </c>
      <c r="B102" s="826" t="str">
        <f>'приложение 7.1'!B103</f>
        <v>РП-6-10 кВ</v>
      </c>
      <c r="C102" s="290">
        <v>0</v>
      </c>
      <c r="D102" s="290">
        <v>0</v>
      </c>
      <c r="E102" s="290">
        <v>0</v>
      </c>
      <c r="F102" s="290">
        <v>0</v>
      </c>
      <c r="G102" s="290">
        <v>0</v>
      </c>
      <c r="H102" s="290">
        <v>0</v>
      </c>
      <c r="I102" s="290">
        <v>0</v>
      </c>
      <c r="J102" s="290">
        <v>0</v>
      </c>
      <c r="K102" s="290">
        <v>0</v>
      </c>
      <c r="L102" s="290">
        <v>0</v>
      </c>
      <c r="M102" s="290">
        <v>0</v>
      </c>
      <c r="N102" s="290">
        <v>0</v>
      </c>
      <c r="O102" s="290">
        <v>0</v>
      </c>
      <c r="P102" s="290">
        <v>0</v>
      </c>
      <c r="Q102" s="290">
        <v>0</v>
      </c>
      <c r="R102" s="290">
        <v>0</v>
      </c>
      <c r="S102" s="290">
        <v>0</v>
      </c>
      <c r="T102" s="290">
        <v>0</v>
      </c>
      <c r="U102" s="290">
        <v>0</v>
      </c>
      <c r="V102" s="290">
        <v>0</v>
      </c>
      <c r="W102" s="275"/>
      <c r="X102" s="275"/>
      <c r="Y102" s="275"/>
      <c r="Z102" s="275"/>
      <c r="AA102" s="275"/>
      <c r="AB102" s="275"/>
      <c r="AC102" s="275"/>
      <c r="AD102" s="275"/>
      <c r="AE102" s="275"/>
    </row>
    <row r="103" spans="1:31" ht="15.75">
      <c r="A103" s="278" t="s">
        <v>865</v>
      </c>
      <c r="B103" s="826" t="str">
        <f>'приложение 7.1'!B104</f>
        <v>ТП-6-10/0.4 кВ</v>
      </c>
      <c r="C103" s="290">
        <v>0</v>
      </c>
      <c r="D103" s="290">
        <v>0</v>
      </c>
      <c r="E103" s="290">
        <v>0</v>
      </c>
      <c r="F103" s="290">
        <v>0</v>
      </c>
      <c r="G103" s="290">
        <v>0</v>
      </c>
      <c r="H103" s="290">
        <v>0</v>
      </c>
      <c r="I103" s="290">
        <v>0</v>
      </c>
      <c r="J103" s="290">
        <v>0</v>
      </c>
      <c r="K103" s="290">
        <v>0</v>
      </c>
      <c r="L103" s="290">
        <v>0</v>
      </c>
      <c r="M103" s="290">
        <v>0</v>
      </c>
      <c r="N103" s="290">
        <v>0</v>
      </c>
      <c r="O103" s="290">
        <v>0</v>
      </c>
      <c r="P103" s="290">
        <v>0</v>
      </c>
      <c r="Q103" s="290">
        <v>0</v>
      </c>
      <c r="R103" s="290">
        <v>0</v>
      </c>
      <c r="S103" s="290">
        <v>0</v>
      </c>
      <c r="T103" s="290">
        <v>0</v>
      </c>
      <c r="U103" s="290">
        <v>0</v>
      </c>
      <c r="V103" s="290">
        <v>0</v>
      </c>
      <c r="W103" s="275"/>
      <c r="X103" s="275"/>
      <c r="Y103" s="275"/>
      <c r="Z103" s="275"/>
      <c r="AA103" s="275"/>
      <c r="AB103" s="275"/>
      <c r="AC103" s="275"/>
      <c r="AD103" s="275"/>
      <c r="AE103" s="275"/>
    </row>
    <row r="104" spans="1:31" s="827" customFormat="1" ht="78.75">
      <c r="A104" s="822" t="s">
        <v>616</v>
      </c>
      <c r="B104" s="823" t="str">
        <f>'приложение 7.1'!B105</f>
        <v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v>
      </c>
      <c r="C104" s="824">
        <f aca="true" t="shared" si="71" ref="C104:V104">C105+C117+C128+C138+C142</f>
        <v>63.059341599999996</v>
      </c>
      <c r="D104" s="824">
        <f t="shared" si="71"/>
        <v>0.7669999999999999</v>
      </c>
      <c r="E104" s="824">
        <f t="shared" si="71"/>
        <v>31.146170799999997</v>
      </c>
      <c r="F104" s="824">
        <f t="shared" si="71"/>
        <v>28.03155372</v>
      </c>
      <c r="G104" s="824">
        <f t="shared" si="71"/>
        <v>3.11461708</v>
      </c>
      <c r="H104" s="824">
        <f t="shared" si="71"/>
        <v>50.6190212316</v>
      </c>
      <c r="I104" s="824">
        <f t="shared" si="71"/>
        <v>0</v>
      </c>
      <c r="J104" s="824">
        <f t="shared" si="71"/>
        <v>17.0418966658</v>
      </c>
      <c r="K104" s="824">
        <f t="shared" si="71"/>
        <v>31.046173504219993</v>
      </c>
      <c r="L104" s="824">
        <f t="shared" si="71"/>
        <v>2.5309510615799997</v>
      </c>
      <c r="M104" s="824">
        <f t="shared" si="71"/>
        <v>-12.440320368400007</v>
      </c>
      <c r="N104" s="824">
        <f t="shared" si="71"/>
        <v>-0.7669999999999999</v>
      </c>
      <c r="O104" s="824">
        <f t="shared" si="71"/>
        <v>-14.104274134199999</v>
      </c>
      <c r="P104" s="824">
        <f t="shared" si="71"/>
        <v>3.0146197842199958</v>
      </c>
      <c r="Q104" s="824">
        <f t="shared" si="71"/>
        <v>-0.5836660184200001</v>
      </c>
      <c r="R104" s="824">
        <f t="shared" si="71"/>
        <v>50.6190212316</v>
      </c>
      <c r="S104" s="824">
        <f t="shared" si="71"/>
        <v>0</v>
      </c>
      <c r="T104" s="824">
        <f t="shared" si="71"/>
        <v>17.0418966658</v>
      </c>
      <c r="U104" s="824">
        <f t="shared" si="71"/>
        <v>31.046173504219993</v>
      </c>
      <c r="V104" s="824">
        <f t="shared" si="71"/>
        <v>2.5309510615799997</v>
      </c>
      <c r="W104" s="828"/>
      <c r="X104" s="828"/>
      <c r="Y104" s="828"/>
      <c r="Z104" s="828"/>
      <c r="AA104" s="828"/>
      <c r="AB104" s="828"/>
      <c r="AC104" s="828"/>
      <c r="AD104" s="828"/>
      <c r="AE104" s="828"/>
    </row>
    <row r="105" spans="1:31" ht="15.75">
      <c r="A105" s="278" t="s">
        <v>680</v>
      </c>
      <c r="B105" s="826" t="str">
        <f>'приложение 7.1'!B106</f>
        <v>КЛ-6-10 кВ</v>
      </c>
      <c r="C105" s="290">
        <f>C106</f>
        <v>27.899093999999998</v>
      </c>
      <c r="D105" s="290">
        <f aca="true" t="shared" si="72" ref="D105:V105">D106</f>
        <v>0</v>
      </c>
      <c r="E105" s="290">
        <f t="shared" si="72"/>
        <v>13.949546999999999</v>
      </c>
      <c r="F105" s="290">
        <f t="shared" si="72"/>
        <v>12.554592300000001</v>
      </c>
      <c r="G105" s="290">
        <f t="shared" si="72"/>
        <v>1.3949547</v>
      </c>
      <c r="H105" s="290">
        <f t="shared" si="72"/>
        <v>20.8410368316</v>
      </c>
      <c r="I105" s="290">
        <f t="shared" si="72"/>
        <v>0</v>
      </c>
      <c r="J105" s="290">
        <f t="shared" si="72"/>
        <v>9.4639897658</v>
      </c>
      <c r="K105" s="290">
        <f t="shared" si="72"/>
        <v>10.33499522422</v>
      </c>
      <c r="L105" s="290">
        <f t="shared" si="72"/>
        <v>1.04205184158</v>
      </c>
      <c r="M105" s="290">
        <f t="shared" si="72"/>
        <v>-7.058057168400002</v>
      </c>
      <c r="N105" s="290">
        <f t="shared" si="72"/>
        <v>0</v>
      </c>
      <c r="O105" s="290">
        <f t="shared" si="72"/>
        <v>-4.4855572342</v>
      </c>
      <c r="P105" s="290">
        <f t="shared" si="72"/>
        <v>-2.219597075780001</v>
      </c>
      <c r="Q105" s="290">
        <f t="shared" si="72"/>
        <v>-0.35290285842</v>
      </c>
      <c r="R105" s="290">
        <f t="shared" si="72"/>
        <v>20.8410368316</v>
      </c>
      <c r="S105" s="290">
        <f t="shared" si="72"/>
        <v>0</v>
      </c>
      <c r="T105" s="290">
        <f t="shared" si="72"/>
        <v>9.4639897658</v>
      </c>
      <c r="U105" s="290">
        <f t="shared" si="72"/>
        <v>10.33499522422</v>
      </c>
      <c r="V105" s="290">
        <f t="shared" si="72"/>
        <v>1.04205184158</v>
      </c>
      <c r="W105" s="275"/>
      <c r="X105" s="275"/>
      <c r="Y105" s="275"/>
      <c r="Z105" s="275"/>
      <c r="AA105" s="275"/>
      <c r="AB105" s="275"/>
      <c r="AC105" s="275"/>
      <c r="AD105" s="275"/>
      <c r="AE105" s="275"/>
    </row>
    <row r="106" spans="1:31" s="16" customFormat="1" ht="30.75" customHeight="1">
      <c r="A106" s="841" t="s">
        <v>901</v>
      </c>
      <c r="B106" s="867" t="str">
        <f>'приложение 7.1'!B107</f>
        <v>г.Чебоксары</v>
      </c>
      <c r="C106" s="227">
        <f aca="true" t="shared" si="73" ref="C106:I106">SUM(C107:C116)</f>
        <v>27.899093999999998</v>
      </c>
      <c r="D106" s="227">
        <f t="shared" si="73"/>
        <v>0</v>
      </c>
      <c r="E106" s="227">
        <f t="shared" si="73"/>
        <v>13.949546999999999</v>
      </c>
      <c r="F106" s="227">
        <f t="shared" si="73"/>
        <v>12.554592300000001</v>
      </c>
      <c r="G106" s="227">
        <f t="shared" si="73"/>
        <v>1.3949547</v>
      </c>
      <c r="H106" s="227">
        <f t="shared" si="73"/>
        <v>20.8410368316</v>
      </c>
      <c r="I106" s="227">
        <f t="shared" si="73"/>
        <v>0</v>
      </c>
      <c r="J106" s="227">
        <f>SUM(J107:J116)</f>
        <v>9.4639897658</v>
      </c>
      <c r="K106" s="227">
        <f aca="true" t="shared" si="74" ref="K106:V106">SUM(K107:K116)</f>
        <v>10.33499522422</v>
      </c>
      <c r="L106" s="227">
        <f t="shared" si="74"/>
        <v>1.04205184158</v>
      </c>
      <c r="M106" s="227">
        <f t="shared" si="74"/>
        <v>-7.058057168400002</v>
      </c>
      <c r="N106" s="227">
        <f t="shared" si="74"/>
        <v>0</v>
      </c>
      <c r="O106" s="227">
        <f t="shared" si="74"/>
        <v>-4.4855572342</v>
      </c>
      <c r="P106" s="227">
        <f t="shared" si="74"/>
        <v>-2.219597075780001</v>
      </c>
      <c r="Q106" s="227">
        <f t="shared" si="74"/>
        <v>-0.35290285842</v>
      </c>
      <c r="R106" s="227">
        <f t="shared" si="74"/>
        <v>20.8410368316</v>
      </c>
      <c r="S106" s="227">
        <f t="shared" si="74"/>
        <v>0</v>
      </c>
      <c r="T106" s="227">
        <f t="shared" si="74"/>
        <v>9.4639897658</v>
      </c>
      <c r="U106" s="227">
        <f t="shared" si="74"/>
        <v>10.33499522422</v>
      </c>
      <c r="V106" s="227">
        <f t="shared" si="74"/>
        <v>1.04205184158</v>
      </c>
      <c r="W106" s="156"/>
      <c r="X106" s="156"/>
      <c r="Y106" s="156"/>
      <c r="Z106" s="156"/>
      <c r="AA106" s="27"/>
      <c r="AB106" s="27"/>
      <c r="AC106" s="27"/>
      <c r="AD106" s="27"/>
      <c r="AE106" s="227"/>
    </row>
    <row r="107" spans="1:31" ht="65.25" customHeight="1">
      <c r="A107" s="19">
        <v>1</v>
      </c>
      <c r="B107" s="447" t="str">
        <f>'приложение 7.1'!B108</f>
        <v> КЛ-6 кВ для электроснабжения 7-8 этажного ж/д по ул.Фучика</v>
      </c>
      <c r="C107" s="229">
        <f>'приложение 7.1'!D108</f>
        <v>3.4265548</v>
      </c>
      <c r="D107" s="229"/>
      <c r="E107" s="229">
        <f aca="true" t="shared" si="75" ref="E107:E112">C107*0.5</f>
        <v>1.7132774</v>
      </c>
      <c r="F107" s="229">
        <f aca="true" t="shared" si="76" ref="F107:F112">C107*0.45</f>
        <v>1.54194966</v>
      </c>
      <c r="G107" s="229">
        <f aca="true" t="shared" si="77" ref="G107:G112">C107*0.05</f>
        <v>0.17132774</v>
      </c>
      <c r="H107" s="229">
        <f>'приложение 7.1'!E108</f>
        <v>3.8261146</v>
      </c>
      <c r="I107" s="229"/>
      <c r="J107" s="229">
        <f aca="true" t="shared" si="78" ref="J107:J112">H107*0.25</f>
        <v>0.95652865</v>
      </c>
      <c r="K107" s="229">
        <f aca="true" t="shared" si="79" ref="K107:K112">H107*0.7</f>
        <v>2.67828022</v>
      </c>
      <c r="L107" s="229">
        <f aca="true" t="shared" si="80" ref="L107:L114">H107*0.05</f>
        <v>0.19130573</v>
      </c>
      <c r="M107" s="229">
        <f aca="true" t="shared" si="81" ref="M107:M112">H107-C107</f>
        <v>0.3995598</v>
      </c>
      <c r="N107" s="229">
        <f aca="true" t="shared" si="82" ref="N107:N112">I107-D107</f>
        <v>0</v>
      </c>
      <c r="O107" s="229">
        <f aca="true" t="shared" si="83" ref="O107:O112">J107-E107</f>
        <v>-0.75674875</v>
      </c>
      <c r="P107" s="229">
        <f aca="true" t="shared" si="84" ref="P107:P112">K107-F107</f>
        <v>1.13633056</v>
      </c>
      <c r="Q107" s="229">
        <f aca="true" t="shared" si="85" ref="Q107:Q112">L107-G107</f>
        <v>0.01997799</v>
      </c>
      <c r="R107" s="229">
        <f aca="true" t="shared" si="86" ref="R107:R112">SUM(S107:V107)</f>
        <v>3.8261146</v>
      </c>
      <c r="S107" s="229">
        <f aca="true" t="shared" si="87" ref="S107:S112">I107</f>
        <v>0</v>
      </c>
      <c r="T107" s="229">
        <f aca="true" t="shared" si="88" ref="T107:T112">J107</f>
        <v>0.95652865</v>
      </c>
      <c r="U107" s="229">
        <f aca="true" t="shared" si="89" ref="U107:U112">K107</f>
        <v>2.67828022</v>
      </c>
      <c r="V107" s="229">
        <f aca="true" t="shared" si="90" ref="V107:V112">L107</f>
        <v>0.19130573</v>
      </c>
      <c r="W107" s="532"/>
      <c r="X107" s="532"/>
      <c r="Y107" s="532"/>
      <c r="Z107" s="76"/>
      <c r="AA107" s="6">
        <v>2014</v>
      </c>
      <c r="AB107" s="6"/>
      <c r="AC107" s="6"/>
      <c r="AD107" s="6"/>
      <c r="AE107" s="6" t="s">
        <v>933</v>
      </c>
    </row>
    <row r="108" spans="1:31" ht="65.25" customHeight="1">
      <c r="A108" s="19">
        <v>2</v>
      </c>
      <c r="B108" s="447" t="str">
        <f>'приложение 7.1'!B109</f>
        <v>Строительство КЛ-6 кВ от ГПП ХБК до нового РП в районе ТП-516 по ул. Гагарина,45а и от РП до ТП-111, г.Чебоксары (2 очередь)</v>
      </c>
      <c r="C108" s="229">
        <f>'приложение 7.1'!D109</f>
        <v>4.988981</v>
      </c>
      <c r="D108" s="229"/>
      <c r="E108" s="229">
        <f t="shared" si="75"/>
        <v>2.4944905</v>
      </c>
      <c r="F108" s="229">
        <f t="shared" si="76"/>
        <v>2.24504145</v>
      </c>
      <c r="G108" s="229">
        <f t="shared" si="77"/>
        <v>0.24944905</v>
      </c>
      <c r="H108" s="229">
        <f>'приложение 7.1'!E109+'приложение 7.1'!F109</f>
        <v>2.0746524</v>
      </c>
      <c r="I108" s="229"/>
      <c r="J108" s="229">
        <f>H108*0.5</f>
        <v>1.0373262</v>
      </c>
      <c r="K108" s="229">
        <f>H108*0.45</f>
        <v>0.9335935800000001</v>
      </c>
      <c r="L108" s="229">
        <f t="shared" si="80"/>
        <v>0.10373262000000001</v>
      </c>
      <c r="M108" s="229">
        <f t="shared" si="81"/>
        <v>-2.9143285999999997</v>
      </c>
      <c r="N108" s="229">
        <f t="shared" si="82"/>
        <v>0</v>
      </c>
      <c r="O108" s="229">
        <f t="shared" si="83"/>
        <v>-1.4571642999999999</v>
      </c>
      <c r="P108" s="229">
        <f t="shared" si="84"/>
        <v>-1.3114478699999998</v>
      </c>
      <c r="Q108" s="229">
        <f t="shared" si="85"/>
        <v>-0.14571643</v>
      </c>
      <c r="R108" s="229">
        <f t="shared" si="86"/>
        <v>2.0746524</v>
      </c>
      <c r="S108" s="229">
        <f t="shared" si="87"/>
        <v>0</v>
      </c>
      <c r="T108" s="229">
        <f t="shared" si="88"/>
        <v>1.0373262</v>
      </c>
      <c r="U108" s="229">
        <f t="shared" si="89"/>
        <v>0.9335935800000001</v>
      </c>
      <c r="V108" s="229">
        <f t="shared" si="90"/>
        <v>0.10373262000000001</v>
      </c>
      <c r="W108" s="532"/>
      <c r="X108" s="532"/>
      <c r="Y108" s="532"/>
      <c r="Z108" s="76"/>
      <c r="AA108" s="6">
        <v>2014</v>
      </c>
      <c r="AB108" s="6"/>
      <c r="AC108" s="6"/>
      <c r="AD108" s="6"/>
      <c r="AE108" s="6" t="s">
        <v>934</v>
      </c>
    </row>
    <row r="109" spans="1:31" ht="65.25" customHeight="1">
      <c r="A109" s="19">
        <v>3</v>
      </c>
      <c r="B109" s="447" t="str">
        <f>'приложение 7.1'!B110</f>
        <v>Строительство КЛ-6 кВ от ГПП ХБК до нового РП в районе ж/д 7/46 по ул. Гайдара и от РП до ТП-107, г.Чебоксары (1 очередь)</v>
      </c>
      <c r="C109" s="229">
        <f>'приложение 7.1'!D110</f>
        <v>2.2844092</v>
      </c>
      <c r="D109" s="229"/>
      <c r="E109" s="229">
        <f t="shared" si="75"/>
        <v>1.1422046</v>
      </c>
      <c r="F109" s="229">
        <f t="shared" si="76"/>
        <v>1.02798414</v>
      </c>
      <c r="G109" s="229">
        <f t="shared" si="77"/>
        <v>0.11422046</v>
      </c>
      <c r="H109" s="229">
        <f>'приложение 7.1'!E110</f>
        <v>0</v>
      </c>
      <c r="I109" s="229"/>
      <c r="J109" s="229">
        <f t="shared" si="78"/>
        <v>0</v>
      </c>
      <c r="K109" s="229">
        <f t="shared" si="79"/>
        <v>0</v>
      </c>
      <c r="L109" s="229">
        <f t="shared" si="80"/>
        <v>0</v>
      </c>
      <c r="M109" s="229">
        <f t="shared" si="81"/>
        <v>-2.2844092</v>
      </c>
      <c r="N109" s="229">
        <f t="shared" si="82"/>
        <v>0</v>
      </c>
      <c r="O109" s="229">
        <f t="shared" si="83"/>
        <v>-1.1422046</v>
      </c>
      <c r="P109" s="229">
        <f t="shared" si="84"/>
        <v>-1.02798414</v>
      </c>
      <c r="Q109" s="229">
        <f t="shared" si="85"/>
        <v>-0.11422046</v>
      </c>
      <c r="R109" s="229">
        <f t="shared" si="86"/>
        <v>0</v>
      </c>
      <c r="S109" s="229">
        <f t="shared" si="87"/>
        <v>0</v>
      </c>
      <c r="T109" s="229">
        <f t="shared" si="88"/>
        <v>0</v>
      </c>
      <c r="U109" s="229">
        <f t="shared" si="89"/>
        <v>0</v>
      </c>
      <c r="V109" s="229">
        <f t="shared" si="90"/>
        <v>0</v>
      </c>
      <c r="W109" s="532"/>
      <c r="X109" s="532"/>
      <c r="Y109" s="532"/>
      <c r="Z109" s="76"/>
      <c r="AA109" s="6">
        <v>2014</v>
      </c>
      <c r="AB109" s="6"/>
      <c r="AC109" s="6"/>
      <c r="AD109" s="6"/>
      <c r="AE109" s="6" t="s">
        <v>935</v>
      </c>
    </row>
    <row r="110" spans="1:31" ht="65.25" customHeight="1">
      <c r="A110" s="19">
        <v>4</v>
      </c>
      <c r="B110" s="447" t="str">
        <f>'приложение 7.1'!B111</f>
        <v>КЛ-6 кВ от РП-29 до ТП №697 (ТП-1) Гремяческий проезд, г.Чебоксары</v>
      </c>
      <c r="C110" s="229">
        <f>'приложение 7.1'!D111</f>
        <v>3.5778544</v>
      </c>
      <c r="D110" s="229"/>
      <c r="E110" s="229">
        <f t="shared" si="75"/>
        <v>1.7889272</v>
      </c>
      <c r="F110" s="229">
        <f t="shared" si="76"/>
        <v>1.6100344800000002</v>
      </c>
      <c r="G110" s="229">
        <f t="shared" si="77"/>
        <v>0.17889272</v>
      </c>
      <c r="H110" s="229">
        <f>'приложение 7.1'!E111+'приложение 7.1'!F111</f>
        <v>0.5771615999999999</v>
      </c>
      <c r="I110" s="229"/>
      <c r="J110" s="229">
        <f>H110*0.5</f>
        <v>0.28858079999999997</v>
      </c>
      <c r="K110" s="229">
        <f>H110*0.45</f>
        <v>0.25972271999999996</v>
      </c>
      <c r="L110" s="229">
        <f>H110*0.05</f>
        <v>0.028858079999999998</v>
      </c>
      <c r="M110" s="229">
        <f t="shared" si="81"/>
        <v>-3.0006928000000004</v>
      </c>
      <c r="N110" s="229">
        <f t="shared" si="82"/>
        <v>0</v>
      </c>
      <c r="O110" s="229">
        <f t="shared" si="83"/>
        <v>-1.5003464000000002</v>
      </c>
      <c r="P110" s="229">
        <f t="shared" si="84"/>
        <v>-1.3503117600000003</v>
      </c>
      <c r="Q110" s="229">
        <f t="shared" si="85"/>
        <v>-0.15003464</v>
      </c>
      <c r="R110" s="229">
        <f t="shared" si="86"/>
        <v>0.5771615999999999</v>
      </c>
      <c r="S110" s="229">
        <f t="shared" si="87"/>
        <v>0</v>
      </c>
      <c r="T110" s="229">
        <f t="shared" si="88"/>
        <v>0.28858079999999997</v>
      </c>
      <c r="U110" s="229">
        <f t="shared" si="89"/>
        <v>0.25972271999999996</v>
      </c>
      <c r="V110" s="229">
        <f t="shared" si="90"/>
        <v>0.028858079999999998</v>
      </c>
      <c r="W110" s="532"/>
      <c r="X110" s="532"/>
      <c r="Y110" s="532"/>
      <c r="Z110" s="76"/>
      <c r="AA110" s="6">
        <v>2014</v>
      </c>
      <c r="AB110" s="6"/>
      <c r="AC110" s="6"/>
      <c r="AD110" s="6"/>
      <c r="AE110" s="6" t="s">
        <v>936</v>
      </c>
    </row>
    <row r="111" spans="1:31" ht="65.25" customHeight="1">
      <c r="A111" s="19">
        <v>5</v>
      </c>
      <c r="B111" s="447" t="str">
        <f>'приложение 7.1'!B112</f>
        <v>Строительство КЛ-10 кВ от ПС "Новый город" до РП-3 в жилом районе "Новый город", г.Чебоксары</v>
      </c>
      <c r="C111" s="229">
        <f>'приложение 7.1'!D112</f>
        <v>4.4913868</v>
      </c>
      <c r="D111" s="229"/>
      <c r="E111" s="229">
        <f t="shared" si="75"/>
        <v>2.2456934</v>
      </c>
      <c r="F111" s="229">
        <f t="shared" si="76"/>
        <v>2.02112406</v>
      </c>
      <c r="G111" s="229">
        <f t="shared" si="77"/>
        <v>0.22456934</v>
      </c>
      <c r="H111" s="229">
        <f>'приложение 7.1'!E112+'приложение 7.1'!F112</f>
        <v>4.9501707999999995</v>
      </c>
      <c r="I111" s="229"/>
      <c r="J111" s="229">
        <f>H111*0.5</f>
        <v>2.4750853999999998</v>
      </c>
      <c r="K111" s="229">
        <f>H111*0.45</f>
        <v>2.2275768599999997</v>
      </c>
      <c r="L111" s="229">
        <f>H111*0.05</f>
        <v>0.24750854</v>
      </c>
      <c r="M111" s="229">
        <f t="shared" si="81"/>
        <v>0.45878399999999964</v>
      </c>
      <c r="N111" s="229">
        <f t="shared" si="82"/>
        <v>0</v>
      </c>
      <c r="O111" s="229">
        <f t="shared" si="83"/>
        <v>0.22939199999999982</v>
      </c>
      <c r="P111" s="229">
        <f t="shared" si="84"/>
        <v>0.20645279999999966</v>
      </c>
      <c r="Q111" s="229">
        <f t="shared" si="85"/>
        <v>0.022939199999999993</v>
      </c>
      <c r="R111" s="229">
        <f t="shared" si="86"/>
        <v>4.9501707999999995</v>
      </c>
      <c r="S111" s="229">
        <f t="shared" si="87"/>
        <v>0</v>
      </c>
      <c r="T111" s="229">
        <f t="shared" si="88"/>
        <v>2.4750853999999998</v>
      </c>
      <c r="U111" s="229">
        <f t="shared" si="89"/>
        <v>2.2275768599999997</v>
      </c>
      <c r="V111" s="229">
        <f t="shared" si="90"/>
        <v>0.24750854</v>
      </c>
      <c r="W111" s="532"/>
      <c r="X111" s="532"/>
      <c r="Y111" s="532"/>
      <c r="Z111" s="76"/>
      <c r="AA111" s="6">
        <v>2014</v>
      </c>
      <c r="AB111" s="6"/>
      <c r="AC111" s="6"/>
      <c r="AD111" s="6"/>
      <c r="AE111" s="6" t="s">
        <v>937</v>
      </c>
    </row>
    <row r="112" spans="1:31" ht="65.25" customHeight="1">
      <c r="A112" s="19">
        <v>6</v>
      </c>
      <c r="B112" s="447" t="str">
        <f>'приложение 7.1'!B113</f>
        <v>Строительство КЛ-10 кВ от ПС "Новый город" до РП-40 совместно с РП-3 (1 очередь)</v>
      </c>
      <c r="C112" s="229">
        <f>'приложение 7.1'!D113</f>
        <v>9.1299078</v>
      </c>
      <c r="D112" s="229"/>
      <c r="E112" s="229">
        <f t="shared" si="75"/>
        <v>4.5649539</v>
      </c>
      <c r="F112" s="229">
        <f t="shared" si="76"/>
        <v>4.10845851</v>
      </c>
      <c r="G112" s="229">
        <f t="shared" si="77"/>
        <v>0.45649539</v>
      </c>
      <c r="H112" s="229">
        <f>'приложение 7.1'!E113</f>
        <v>0</v>
      </c>
      <c r="I112" s="229"/>
      <c r="J112" s="229">
        <f t="shared" si="78"/>
        <v>0</v>
      </c>
      <c r="K112" s="229">
        <f t="shared" si="79"/>
        <v>0</v>
      </c>
      <c r="L112" s="229">
        <f t="shared" si="80"/>
        <v>0</v>
      </c>
      <c r="M112" s="229">
        <f t="shared" si="81"/>
        <v>-9.1299078</v>
      </c>
      <c r="N112" s="229">
        <f t="shared" si="82"/>
        <v>0</v>
      </c>
      <c r="O112" s="229">
        <f t="shared" si="83"/>
        <v>-4.5649539</v>
      </c>
      <c r="P112" s="229">
        <f t="shared" si="84"/>
        <v>-4.10845851</v>
      </c>
      <c r="Q112" s="229">
        <f t="shared" si="85"/>
        <v>-0.45649539</v>
      </c>
      <c r="R112" s="229">
        <f t="shared" si="86"/>
        <v>0</v>
      </c>
      <c r="S112" s="229">
        <f t="shared" si="87"/>
        <v>0</v>
      </c>
      <c r="T112" s="229">
        <f t="shared" si="88"/>
        <v>0</v>
      </c>
      <c r="U112" s="229">
        <f t="shared" si="89"/>
        <v>0</v>
      </c>
      <c r="V112" s="229">
        <f t="shared" si="90"/>
        <v>0</v>
      </c>
      <c r="W112" s="532"/>
      <c r="X112" s="532"/>
      <c r="Y112" s="532"/>
      <c r="Z112" s="76"/>
      <c r="AA112" s="6">
        <v>2014</v>
      </c>
      <c r="AB112" s="6"/>
      <c r="AC112" s="6"/>
      <c r="AD112" s="6"/>
      <c r="AE112" s="6" t="s">
        <v>938</v>
      </c>
    </row>
    <row r="113" spans="1:31" ht="65.25" customHeight="1">
      <c r="A113" s="19">
        <v>7</v>
      </c>
      <c r="B113" s="447" t="str">
        <f>'приложение 7.1'!B114</f>
        <v> Участок КЛ-6 кВ от ПС 110/6кВ ТЭЦ-1 до новой РП-6 кВ по ул.Николаева</v>
      </c>
      <c r="C113" s="229">
        <f>'приложение 7.1'!D114</f>
        <v>0</v>
      </c>
      <c r="D113" s="229"/>
      <c r="E113" s="229">
        <f>C113*0.5</f>
        <v>0</v>
      </c>
      <c r="F113" s="229">
        <f>C113*0.45</f>
        <v>0</v>
      </c>
      <c r="G113" s="229">
        <f>C113*0.05</f>
        <v>0</v>
      </c>
      <c r="H113" s="229">
        <f>'приложение 7.1'!E114+'приложение 7.1'!F114</f>
        <v>5.9169448000000004</v>
      </c>
      <c r="I113" s="229"/>
      <c r="J113" s="229">
        <f>H113*0.5</f>
        <v>2.9584724000000002</v>
      </c>
      <c r="K113" s="229">
        <f>H113*0.45</f>
        <v>2.66262516</v>
      </c>
      <c r="L113" s="229">
        <f t="shared" si="80"/>
        <v>0.29584724</v>
      </c>
      <c r="M113" s="229">
        <f aca="true" t="shared" si="91" ref="M113:Q114">H113-C113</f>
        <v>5.9169448000000004</v>
      </c>
      <c r="N113" s="229">
        <f t="shared" si="91"/>
        <v>0</v>
      </c>
      <c r="O113" s="229">
        <f t="shared" si="91"/>
        <v>2.9584724000000002</v>
      </c>
      <c r="P113" s="229">
        <f t="shared" si="91"/>
        <v>2.66262516</v>
      </c>
      <c r="Q113" s="229">
        <f t="shared" si="91"/>
        <v>0.29584724</v>
      </c>
      <c r="R113" s="229">
        <f>SUM(S113:V113)</f>
        <v>5.9169448000000004</v>
      </c>
      <c r="S113" s="229">
        <f aca="true" t="shared" si="92" ref="S113:V114">I113</f>
        <v>0</v>
      </c>
      <c r="T113" s="229">
        <f t="shared" si="92"/>
        <v>2.9584724000000002</v>
      </c>
      <c r="U113" s="229">
        <f t="shared" si="92"/>
        <v>2.66262516</v>
      </c>
      <c r="V113" s="229">
        <f t="shared" si="92"/>
        <v>0.29584724</v>
      </c>
      <c r="W113" s="532"/>
      <c r="X113" s="532"/>
      <c r="Y113" s="532"/>
      <c r="Z113" s="76"/>
      <c r="AA113" s="6">
        <v>2014</v>
      </c>
      <c r="AB113" s="6"/>
      <c r="AC113" s="6"/>
      <c r="AD113" s="6"/>
      <c r="AE113" s="6" t="s">
        <v>938</v>
      </c>
    </row>
    <row r="114" spans="1:31" ht="81.75" customHeight="1">
      <c r="A114" s="19">
        <v>8</v>
      </c>
      <c r="B114" s="447" t="str">
        <f>'приложение 7.1'!B115</f>
        <v>Участок кабельной линии от ул.Кузнечная до проектируемой РП-6 кВ по ул.Энгельса (строящаяся КЛ-6 кВ от ПС 110/6 кВ "ТЭЦ-1" до РП-6 кВ по ул.Энгельса, г.Чебоксары)</v>
      </c>
      <c r="C114" s="229">
        <f>'приложение 7.1'!D115</f>
        <v>0</v>
      </c>
      <c r="D114" s="229"/>
      <c r="E114" s="229">
        <f>C114*0.5</f>
        <v>0</v>
      </c>
      <c r="F114" s="229">
        <f>C114*0.45</f>
        <v>0</v>
      </c>
      <c r="G114" s="229">
        <f>C114*0.05</f>
        <v>0</v>
      </c>
      <c r="H114" s="229">
        <f>'приложение 7.1'!E115+'приложение 7.1'!F115</f>
        <v>0.029742631599999996</v>
      </c>
      <c r="I114" s="229"/>
      <c r="J114" s="229">
        <f>H114*0.5</f>
        <v>0.014871315799999998</v>
      </c>
      <c r="K114" s="229">
        <f>H114*0.45</f>
        <v>0.013384184219999998</v>
      </c>
      <c r="L114" s="229">
        <f t="shared" si="80"/>
        <v>0.00148713158</v>
      </c>
      <c r="M114" s="229">
        <f t="shared" si="91"/>
        <v>0.029742631599999996</v>
      </c>
      <c r="N114" s="229">
        <f t="shared" si="91"/>
        <v>0</v>
      </c>
      <c r="O114" s="229">
        <f t="shared" si="91"/>
        <v>0.014871315799999998</v>
      </c>
      <c r="P114" s="229">
        <f t="shared" si="91"/>
        <v>0.013384184219999998</v>
      </c>
      <c r="Q114" s="229">
        <f t="shared" si="91"/>
        <v>0.00148713158</v>
      </c>
      <c r="R114" s="229">
        <f>SUM(S114:V114)</f>
        <v>0.029742631599999996</v>
      </c>
      <c r="S114" s="229">
        <f t="shared" si="92"/>
        <v>0</v>
      </c>
      <c r="T114" s="229">
        <f t="shared" si="92"/>
        <v>0.014871315799999998</v>
      </c>
      <c r="U114" s="229">
        <f t="shared" si="92"/>
        <v>0.013384184219999998</v>
      </c>
      <c r="V114" s="229">
        <f t="shared" si="92"/>
        <v>0.00148713158</v>
      </c>
      <c r="W114" s="532"/>
      <c r="X114" s="532"/>
      <c r="Y114" s="532"/>
      <c r="Z114" s="76"/>
      <c r="AA114" s="6">
        <v>2014</v>
      </c>
      <c r="AB114" s="6"/>
      <c r="AC114" s="6"/>
      <c r="AD114" s="6"/>
      <c r="AE114" s="6" t="s">
        <v>938</v>
      </c>
    </row>
    <row r="115" spans="1:31" ht="95.25" customHeight="1">
      <c r="A115" s="19">
        <v>9</v>
      </c>
      <c r="B115" s="447" t="str">
        <f>'приложение 7.1'!B116</f>
        <v>Разработка рабочей документации и выполнение строительно-монтажных работ по объекту ТП-10кВ, КЛ-10кВи ВЛИ-0,4 кВот ТП-523 до садовых домиков в р-не НСТ Чапаевец", г.Чебоксары</v>
      </c>
      <c r="C115" s="229">
        <f>'приложение 7.1'!D116</f>
        <v>0</v>
      </c>
      <c r="D115" s="229"/>
      <c r="E115" s="229">
        <f>C115*0.5</f>
        <v>0</v>
      </c>
      <c r="F115" s="229">
        <f>C115*0.45</f>
        <v>0</v>
      </c>
      <c r="G115" s="229">
        <f>C115*0.05</f>
        <v>0</v>
      </c>
      <c r="H115" s="229">
        <f>'приложение 7.1'!E116+'приложение 7.1'!F116</f>
        <v>2.5599391999999996</v>
      </c>
      <c r="I115" s="229"/>
      <c r="J115" s="229">
        <f>H115*0.5</f>
        <v>1.2799695999999998</v>
      </c>
      <c r="K115" s="229">
        <f>H115*0.45</f>
        <v>1.1519726399999999</v>
      </c>
      <c r="L115" s="229">
        <f>H115*0.05</f>
        <v>0.12799696</v>
      </c>
      <c r="M115" s="229">
        <f aca="true" t="shared" si="93" ref="M115:Q116">H115-C115</f>
        <v>2.5599391999999996</v>
      </c>
      <c r="N115" s="229">
        <f t="shared" si="93"/>
        <v>0</v>
      </c>
      <c r="O115" s="229">
        <f t="shared" si="93"/>
        <v>1.2799695999999998</v>
      </c>
      <c r="P115" s="229">
        <f t="shared" si="93"/>
        <v>1.1519726399999999</v>
      </c>
      <c r="Q115" s="229">
        <f t="shared" si="93"/>
        <v>0.12799696</v>
      </c>
      <c r="R115" s="229">
        <f>SUM(S115:V115)</f>
        <v>2.5599391999999996</v>
      </c>
      <c r="S115" s="229">
        <f aca="true" t="shared" si="94" ref="S115:V116">I115</f>
        <v>0</v>
      </c>
      <c r="T115" s="229">
        <f t="shared" si="94"/>
        <v>1.2799695999999998</v>
      </c>
      <c r="U115" s="229">
        <f t="shared" si="94"/>
        <v>1.1519726399999999</v>
      </c>
      <c r="V115" s="229">
        <f t="shared" si="94"/>
        <v>0.12799696</v>
      </c>
      <c r="W115" s="532"/>
      <c r="X115" s="532"/>
      <c r="Y115" s="532"/>
      <c r="Z115" s="76"/>
      <c r="AA115" s="6">
        <v>2014</v>
      </c>
      <c r="AB115" s="6"/>
      <c r="AC115" s="6"/>
      <c r="AD115" s="6"/>
      <c r="AE115" s="6" t="s">
        <v>938</v>
      </c>
    </row>
    <row r="116" spans="1:31" ht="99.75" customHeight="1">
      <c r="A116" s="19">
        <v>10</v>
      </c>
      <c r="B116" s="447" t="str">
        <f>'приложение 7.1'!B117</f>
        <v>Разработка рабочей документации и выполнение строительно-монтажных работ КЛ-6 кВ от опоры №12 ВЛ-6 кВ (ТП-149 - ТП-128) до ТП-6/0,4кВ, расположенной по ул.Нефтебазовая, г.Чебоксары</v>
      </c>
      <c r="C116" s="229">
        <f>'приложение 7.1'!D117</f>
        <v>0</v>
      </c>
      <c r="D116" s="229"/>
      <c r="E116" s="229">
        <f>C116*0.5</f>
        <v>0</v>
      </c>
      <c r="F116" s="229">
        <f>C116*0.45</f>
        <v>0</v>
      </c>
      <c r="G116" s="229">
        <f>C116*0.05</f>
        <v>0</v>
      </c>
      <c r="H116" s="229">
        <f>'приложение 7.1'!E117+'приложение 7.1'!F117</f>
        <v>0.9063107999999999</v>
      </c>
      <c r="I116" s="229"/>
      <c r="J116" s="229">
        <f>H116*0.5</f>
        <v>0.45315539999999993</v>
      </c>
      <c r="K116" s="229">
        <f>H116*0.45</f>
        <v>0.40783985999999994</v>
      </c>
      <c r="L116" s="229">
        <f>H116*0.05</f>
        <v>0.045315539999999994</v>
      </c>
      <c r="M116" s="229">
        <f t="shared" si="93"/>
        <v>0.9063107999999999</v>
      </c>
      <c r="N116" s="229">
        <f t="shared" si="93"/>
        <v>0</v>
      </c>
      <c r="O116" s="229">
        <f t="shared" si="93"/>
        <v>0.45315539999999993</v>
      </c>
      <c r="P116" s="229">
        <f t="shared" si="93"/>
        <v>0.40783985999999994</v>
      </c>
      <c r="Q116" s="229">
        <f t="shared" si="93"/>
        <v>0.045315539999999994</v>
      </c>
      <c r="R116" s="229">
        <f>SUM(S116:V116)</f>
        <v>0.9063108</v>
      </c>
      <c r="S116" s="229">
        <f t="shared" si="94"/>
        <v>0</v>
      </c>
      <c r="T116" s="229">
        <f t="shared" si="94"/>
        <v>0.45315539999999993</v>
      </c>
      <c r="U116" s="229">
        <f t="shared" si="94"/>
        <v>0.40783985999999994</v>
      </c>
      <c r="V116" s="229">
        <f t="shared" si="94"/>
        <v>0.045315539999999994</v>
      </c>
      <c r="W116" s="532"/>
      <c r="X116" s="532"/>
      <c r="Y116" s="532"/>
      <c r="Z116" s="76"/>
      <c r="AA116" s="6">
        <v>2014</v>
      </c>
      <c r="AB116" s="6"/>
      <c r="AC116" s="6"/>
      <c r="AD116" s="6"/>
      <c r="AE116" s="6" t="s">
        <v>938</v>
      </c>
    </row>
    <row r="117" spans="1:31" ht="15.75">
      <c r="A117" s="278" t="s">
        <v>681</v>
      </c>
      <c r="B117" s="826" t="str">
        <f>'приложение 7.1'!B118</f>
        <v>ТП, РП-6-10 кВ</v>
      </c>
      <c r="C117" s="290">
        <f>C118+C126</f>
        <v>29.766715399999995</v>
      </c>
      <c r="D117" s="290">
        <f aca="true" t="shared" si="95" ref="D117:V117">D118+D126</f>
        <v>0</v>
      </c>
      <c r="E117" s="290">
        <f t="shared" si="95"/>
        <v>14.883357699999998</v>
      </c>
      <c r="F117" s="290">
        <f t="shared" si="95"/>
        <v>13.39502193</v>
      </c>
      <c r="G117" s="290">
        <f t="shared" si="95"/>
        <v>1.48833577</v>
      </c>
      <c r="H117" s="290">
        <f t="shared" si="95"/>
        <v>20.1278146</v>
      </c>
      <c r="I117" s="290">
        <f t="shared" si="95"/>
        <v>0</v>
      </c>
      <c r="J117" s="290">
        <f t="shared" si="95"/>
        <v>5.165364449999998</v>
      </c>
      <c r="K117" s="290">
        <f t="shared" si="95"/>
        <v>13.956059419999997</v>
      </c>
      <c r="L117" s="290">
        <f t="shared" si="95"/>
        <v>1.00639073</v>
      </c>
      <c r="M117" s="290">
        <f t="shared" si="95"/>
        <v>-9.638900800000004</v>
      </c>
      <c r="N117" s="290">
        <f t="shared" si="95"/>
        <v>0</v>
      </c>
      <c r="O117" s="290">
        <f t="shared" si="95"/>
        <v>-9.71799325</v>
      </c>
      <c r="P117" s="290">
        <f t="shared" si="95"/>
        <v>0.5610374899999984</v>
      </c>
      <c r="Q117" s="290">
        <f t="shared" si="95"/>
        <v>-0.48194504</v>
      </c>
      <c r="R117" s="290">
        <f t="shared" si="95"/>
        <v>20.127814599999997</v>
      </c>
      <c r="S117" s="290">
        <f t="shared" si="95"/>
        <v>0</v>
      </c>
      <c r="T117" s="290">
        <f t="shared" si="95"/>
        <v>5.165364449999998</v>
      </c>
      <c r="U117" s="290">
        <f t="shared" si="95"/>
        <v>13.956059419999997</v>
      </c>
      <c r="V117" s="290">
        <f t="shared" si="95"/>
        <v>1.00639073</v>
      </c>
      <c r="W117" s="275"/>
      <c r="X117" s="275"/>
      <c r="Y117" s="275"/>
      <c r="Z117" s="275"/>
      <c r="AA117" s="275"/>
      <c r="AB117" s="275"/>
      <c r="AC117" s="275"/>
      <c r="AD117" s="275"/>
      <c r="AE117" s="275"/>
    </row>
    <row r="118" spans="1:31" s="16" customFormat="1" ht="30.75" customHeight="1">
      <c r="A118" s="841" t="s">
        <v>902</v>
      </c>
      <c r="B118" s="867" t="str">
        <f>'приложение 7.1'!B119</f>
        <v>г.Чебоксары</v>
      </c>
      <c r="C118" s="227">
        <f>SUM(C119:C125)</f>
        <v>29.507115399999996</v>
      </c>
      <c r="D118" s="227">
        <f aca="true" t="shared" si="96" ref="D118:V118">SUM(D119:D125)</f>
        <v>0</v>
      </c>
      <c r="E118" s="227">
        <f t="shared" si="96"/>
        <v>14.753557699999998</v>
      </c>
      <c r="F118" s="227">
        <f t="shared" si="96"/>
        <v>13.27820193</v>
      </c>
      <c r="G118" s="227">
        <f t="shared" si="96"/>
        <v>1.47535577</v>
      </c>
      <c r="H118" s="227">
        <f t="shared" si="96"/>
        <v>20.1278146</v>
      </c>
      <c r="I118" s="227">
        <f t="shared" si="96"/>
        <v>0</v>
      </c>
      <c r="J118" s="227">
        <f t="shared" si="96"/>
        <v>5.165364449999998</v>
      </c>
      <c r="K118" s="227">
        <f t="shared" si="96"/>
        <v>13.956059419999997</v>
      </c>
      <c r="L118" s="227">
        <f t="shared" si="96"/>
        <v>1.00639073</v>
      </c>
      <c r="M118" s="227">
        <f t="shared" si="96"/>
        <v>-9.379300800000003</v>
      </c>
      <c r="N118" s="227">
        <f t="shared" si="96"/>
        <v>0</v>
      </c>
      <c r="O118" s="227">
        <f t="shared" si="96"/>
        <v>-9.58819325</v>
      </c>
      <c r="P118" s="227">
        <f t="shared" si="96"/>
        <v>0.6778574899999984</v>
      </c>
      <c r="Q118" s="227">
        <f t="shared" si="96"/>
        <v>-0.46896504</v>
      </c>
      <c r="R118" s="227">
        <f t="shared" si="96"/>
        <v>20.127814599999997</v>
      </c>
      <c r="S118" s="227">
        <f t="shared" si="96"/>
        <v>0</v>
      </c>
      <c r="T118" s="227">
        <f t="shared" si="96"/>
        <v>5.165364449999998</v>
      </c>
      <c r="U118" s="227">
        <f t="shared" si="96"/>
        <v>13.956059419999997</v>
      </c>
      <c r="V118" s="227">
        <f t="shared" si="96"/>
        <v>1.00639073</v>
      </c>
      <c r="W118" s="156"/>
      <c r="X118" s="156"/>
      <c r="Y118" s="156"/>
      <c r="Z118" s="156"/>
      <c r="AA118" s="27"/>
      <c r="AB118" s="27"/>
      <c r="AC118" s="27"/>
      <c r="AD118" s="27"/>
      <c r="AE118" s="227"/>
    </row>
    <row r="119" spans="1:31" ht="45" customHeight="1">
      <c r="A119" s="19">
        <v>1</v>
      </c>
      <c r="B119" s="447" t="str">
        <f>'приложение 7.1'!B120</f>
        <v>ТП-10 кВ для электроснабжения 7-8 этажного ж/д по ул.Фучика</v>
      </c>
      <c r="C119" s="229">
        <f>'приложение 7.1'!D120</f>
        <v>7.2568702</v>
      </c>
      <c r="D119" s="229"/>
      <c r="E119" s="229">
        <f aca="true" t="shared" si="97" ref="E119:E125">C119*0.5</f>
        <v>3.6284351</v>
      </c>
      <c r="F119" s="229">
        <f aca="true" t="shared" si="98" ref="F119:F125">C119*0.45</f>
        <v>3.26559159</v>
      </c>
      <c r="G119" s="229">
        <f aca="true" t="shared" si="99" ref="G119:G125">C119*0.05</f>
        <v>0.36284351000000004</v>
      </c>
      <c r="H119" s="229">
        <f>'приложение 7.1'!E120</f>
        <v>5.4691583999999995</v>
      </c>
      <c r="I119" s="229"/>
      <c r="J119" s="229">
        <f>H119*0.25</f>
        <v>1.3672895999999999</v>
      </c>
      <c r="K119" s="229">
        <f>H119*0.7</f>
        <v>3.8284108799999994</v>
      </c>
      <c r="L119" s="229">
        <f aca="true" t="shared" si="100" ref="L119:L125">H119*0.05</f>
        <v>0.27345791999999997</v>
      </c>
      <c r="M119" s="229">
        <f aca="true" t="shared" si="101" ref="M119:Q120">H119-C119</f>
        <v>-1.7877118000000003</v>
      </c>
      <c r="N119" s="229">
        <f t="shared" si="101"/>
        <v>0</v>
      </c>
      <c r="O119" s="229">
        <f t="shared" si="101"/>
        <v>-2.2611455</v>
      </c>
      <c r="P119" s="229">
        <f t="shared" si="101"/>
        <v>0.5628192899999993</v>
      </c>
      <c r="Q119" s="229">
        <f t="shared" si="101"/>
        <v>-0.08938559000000007</v>
      </c>
      <c r="R119" s="229">
        <f aca="true" t="shared" si="102" ref="R119:R125">SUM(S119:V119)</f>
        <v>5.4691583999999995</v>
      </c>
      <c r="S119" s="229">
        <f aca="true" t="shared" si="103" ref="S119:V120">I119</f>
        <v>0</v>
      </c>
      <c r="T119" s="229">
        <f t="shared" si="103"/>
        <v>1.3672895999999999</v>
      </c>
      <c r="U119" s="229">
        <f t="shared" si="103"/>
        <v>3.8284108799999994</v>
      </c>
      <c r="V119" s="229">
        <f t="shared" si="103"/>
        <v>0.27345791999999997</v>
      </c>
      <c r="W119" s="532"/>
      <c r="X119" s="532"/>
      <c r="Y119" s="532"/>
      <c r="Z119" s="76" t="s">
        <v>931</v>
      </c>
      <c r="AA119" s="6">
        <v>2014</v>
      </c>
      <c r="AB119" s="6"/>
      <c r="AC119" s="6"/>
      <c r="AD119" s="6"/>
      <c r="AE119" s="6"/>
    </row>
    <row r="120" spans="1:31" ht="43.5" customHeight="1">
      <c r="A120" s="19">
        <v>2</v>
      </c>
      <c r="B120" s="447" t="str">
        <f>'приложение 7.1'!B121</f>
        <v>Строительство РП-№3в мкр. "Новый город"</v>
      </c>
      <c r="C120" s="229">
        <f>'приложение 7.1'!D121</f>
        <v>22.2502452</v>
      </c>
      <c r="D120" s="229"/>
      <c r="E120" s="229">
        <f t="shared" si="97"/>
        <v>11.1251226</v>
      </c>
      <c r="F120" s="229">
        <f t="shared" si="98"/>
        <v>10.01261034</v>
      </c>
      <c r="G120" s="229">
        <f t="shared" si="99"/>
        <v>1.11251226</v>
      </c>
      <c r="H120" s="229">
        <f>'приложение 7.1'!E121</f>
        <v>14.125013</v>
      </c>
      <c r="I120" s="229"/>
      <c r="J120" s="229">
        <f>H120*0.25</f>
        <v>3.53125325</v>
      </c>
      <c r="K120" s="229">
        <f>H120*0.7</f>
        <v>9.887509099999999</v>
      </c>
      <c r="L120" s="229">
        <f t="shared" si="100"/>
        <v>0.70625065</v>
      </c>
      <c r="M120" s="229">
        <f t="shared" si="101"/>
        <v>-8.1252322</v>
      </c>
      <c r="N120" s="229">
        <f t="shared" si="101"/>
        <v>0</v>
      </c>
      <c r="O120" s="229">
        <f t="shared" si="101"/>
        <v>-7.593869349999999</v>
      </c>
      <c r="P120" s="229">
        <f t="shared" si="101"/>
        <v>-0.1251012400000011</v>
      </c>
      <c r="Q120" s="229">
        <f t="shared" si="101"/>
        <v>-0.40626160999999994</v>
      </c>
      <c r="R120" s="229">
        <f t="shared" si="102"/>
        <v>14.125012999999997</v>
      </c>
      <c r="S120" s="229">
        <f t="shared" si="103"/>
        <v>0</v>
      </c>
      <c r="T120" s="229">
        <f t="shared" si="103"/>
        <v>3.53125325</v>
      </c>
      <c r="U120" s="229">
        <f t="shared" si="103"/>
        <v>9.887509099999999</v>
      </c>
      <c r="V120" s="229">
        <f t="shared" si="103"/>
        <v>0.70625065</v>
      </c>
      <c r="W120" s="532"/>
      <c r="X120" s="532"/>
      <c r="Y120" s="532"/>
      <c r="Z120" s="76" t="s">
        <v>939</v>
      </c>
      <c r="AA120" s="6">
        <v>2014</v>
      </c>
      <c r="AB120" s="6"/>
      <c r="AC120" s="6"/>
      <c r="AD120" s="6"/>
      <c r="AE120" s="6"/>
    </row>
    <row r="121" spans="1:31" ht="43.5" customHeight="1">
      <c r="A121" s="19">
        <v>3</v>
      </c>
      <c r="B121" s="447" t="str">
        <f>'приложение 7.1'!B122</f>
        <v>РП-6 кВ по ул.Николаева </v>
      </c>
      <c r="C121" s="229">
        <f>'приложение 7.1'!D122</f>
        <v>0</v>
      </c>
      <c r="D121" s="229"/>
      <c r="E121" s="229">
        <f t="shared" si="97"/>
        <v>0</v>
      </c>
      <c r="F121" s="229">
        <f t="shared" si="98"/>
        <v>0</v>
      </c>
      <c r="G121" s="229">
        <f t="shared" si="99"/>
        <v>0</v>
      </c>
      <c r="H121" s="229">
        <f>'приложение 7.1'!E122+'приложение 7.1'!F122</f>
        <v>0.18944899999999998</v>
      </c>
      <c r="I121" s="229"/>
      <c r="J121" s="229">
        <f>H121*0.5</f>
        <v>0.09472449999999999</v>
      </c>
      <c r="K121" s="229">
        <f>H121*0.45</f>
        <v>0.08525205</v>
      </c>
      <c r="L121" s="229">
        <f t="shared" si="100"/>
        <v>0.00947245</v>
      </c>
      <c r="M121" s="229">
        <f aca="true" t="shared" si="104" ref="M121:Q122">H121-C121</f>
        <v>0.18944899999999998</v>
      </c>
      <c r="N121" s="229">
        <f t="shared" si="104"/>
        <v>0</v>
      </c>
      <c r="O121" s="229">
        <f t="shared" si="104"/>
        <v>0.09472449999999999</v>
      </c>
      <c r="P121" s="229">
        <f t="shared" si="104"/>
        <v>0.08525205</v>
      </c>
      <c r="Q121" s="229">
        <f t="shared" si="104"/>
        <v>0.00947245</v>
      </c>
      <c r="R121" s="229">
        <f t="shared" si="102"/>
        <v>0.18944899999999998</v>
      </c>
      <c r="S121" s="229">
        <f aca="true" t="shared" si="105" ref="S121:V122">I121</f>
        <v>0</v>
      </c>
      <c r="T121" s="229">
        <f t="shared" si="105"/>
        <v>0.09472449999999999</v>
      </c>
      <c r="U121" s="229">
        <f t="shared" si="105"/>
        <v>0.08525205</v>
      </c>
      <c r="V121" s="229">
        <f t="shared" si="105"/>
        <v>0.00947245</v>
      </c>
      <c r="W121" s="532"/>
      <c r="X121" s="532"/>
      <c r="Y121" s="532"/>
      <c r="Z121" s="76" t="s">
        <v>939</v>
      </c>
      <c r="AA121" s="6">
        <v>2014</v>
      </c>
      <c r="AB121" s="6"/>
      <c r="AC121" s="6"/>
      <c r="AD121" s="6"/>
      <c r="AE121" s="6"/>
    </row>
    <row r="122" spans="1:31" ht="43.5" customHeight="1">
      <c r="A122" s="19">
        <v>4</v>
      </c>
      <c r="B122" s="447" t="str">
        <f>'приложение 7.1'!B123</f>
        <v>РП-6 кВ по ул.Гагарина </v>
      </c>
      <c r="C122" s="229">
        <f>'приложение 7.1'!D123</f>
        <v>0</v>
      </c>
      <c r="D122" s="229"/>
      <c r="E122" s="229">
        <f t="shared" si="97"/>
        <v>0</v>
      </c>
      <c r="F122" s="229">
        <f t="shared" si="98"/>
        <v>0</v>
      </c>
      <c r="G122" s="229">
        <f t="shared" si="99"/>
        <v>0</v>
      </c>
      <c r="H122" s="229">
        <f>'приложение 7.1'!E123+'приложение 7.1'!F123</f>
        <v>0.0948602</v>
      </c>
      <c r="I122" s="229"/>
      <c r="J122" s="229">
        <f>H122*0.5</f>
        <v>0.0474301</v>
      </c>
      <c r="K122" s="229">
        <f>H122*0.45</f>
        <v>0.042687090000000004</v>
      </c>
      <c r="L122" s="229">
        <f t="shared" si="100"/>
        <v>0.004743010000000001</v>
      </c>
      <c r="M122" s="229">
        <f t="shared" si="104"/>
        <v>0.0948602</v>
      </c>
      <c r="N122" s="229">
        <f t="shared" si="104"/>
        <v>0</v>
      </c>
      <c r="O122" s="229">
        <f t="shared" si="104"/>
        <v>0.0474301</v>
      </c>
      <c r="P122" s="229">
        <f t="shared" si="104"/>
        <v>0.042687090000000004</v>
      </c>
      <c r="Q122" s="229">
        <f t="shared" si="104"/>
        <v>0.004743010000000001</v>
      </c>
      <c r="R122" s="229">
        <f t="shared" si="102"/>
        <v>0.09486020000000002</v>
      </c>
      <c r="S122" s="229">
        <f t="shared" si="105"/>
        <v>0</v>
      </c>
      <c r="T122" s="229">
        <f t="shared" si="105"/>
        <v>0.0474301</v>
      </c>
      <c r="U122" s="229">
        <f t="shared" si="105"/>
        <v>0.042687090000000004</v>
      </c>
      <c r="V122" s="229">
        <f t="shared" si="105"/>
        <v>0.004743010000000001</v>
      </c>
      <c r="W122" s="532"/>
      <c r="X122" s="532"/>
      <c r="Y122" s="532"/>
      <c r="Z122" s="76" t="s">
        <v>939</v>
      </c>
      <c r="AA122" s="6">
        <v>2014</v>
      </c>
      <c r="AB122" s="6"/>
      <c r="AC122" s="6"/>
      <c r="AD122" s="6"/>
      <c r="AE122" s="6"/>
    </row>
    <row r="123" spans="1:31" ht="43.5" customHeight="1">
      <c r="A123" s="19">
        <v>5</v>
      </c>
      <c r="B123" s="447" t="str">
        <f>'приложение 7.1'!B124</f>
        <v>Строительство КТПНБ-630/ 6/0,4 кВ по ул.Эльгера,г. Чебоксары  </v>
      </c>
      <c r="C123" s="229">
        <f>'приложение 7.1'!D124</f>
        <v>0</v>
      </c>
      <c r="D123" s="229"/>
      <c r="E123" s="229">
        <f t="shared" si="97"/>
        <v>0</v>
      </c>
      <c r="F123" s="229">
        <f t="shared" si="98"/>
        <v>0</v>
      </c>
      <c r="G123" s="229">
        <f t="shared" si="99"/>
        <v>0</v>
      </c>
      <c r="H123" s="229">
        <f>'приложение 7.1'!E124+'приложение 7.1'!F124</f>
        <v>0.0145612</v>
      </c>
      <c r="I123" s="229"/>
      <c r="J123" s="229">
        <f>H123*0.5</f>
        <v>0.0072806</v>
      </c>
      <c r="K123" s="229">
        <f>H123*0.45</f>
        <v>0.00655254</v>
      </c>
      <c r="L123" s="229">
        <f t="shared" si="100"/>
        <v>0.00072806</v>
      </c>
      <c r="M123" s="229">
        <f aca="true" t="shared" si="106" ref="M123:Q125">H123-C123</f>
        <v>0.0145612</v>
      </c>
      <c r="N123" s="229">
        <f t="shared" si="106"/>
        <v>0</v>
      </c>
      <c r="O123" s="229">
        <f t="shared" si="106"/>
        <v>0.0072806</v>
      </c>
      <c r="P123" s="229">
        <f t="shared" si="106"/>
        <v>0.00655254</v>
      </c>
      <c r="Q123" s="229">
        <f t="shared" si="106"/>
        <v>0.00072806</v>
      </c>
      <c r="R123" s="229">
        <f t="shared" si="102"/>
        <v>0.0145612</v>
      </c>
      <c r="S123" s="229">
        <f aca="true" t="shared" si="107" ref="S123:V125">I123</f>
        <v>0</v>
      </c>
      <c r="T123" s="229">
        <f t="shared" si="107"/>
        <v>0.0072806</v>
      </c>
      <c r="U123" s="229">
        <f t="shared" si="107"/>
        <v>0.00655254</v>
      </c>
      <c r="V123" s="229">
        <f t="shared" si="107"/>
        <v>0.00072806</v>
      </c>
      <c r="W123" s="532"/>
      <c r="X123" s="532"/>
      <c r="Y123" s="532"/>
      <c r="Z123" s="76"/>
      <c r="AA123" s="6"/>
      <c r="AB123" s="6"/>
      <c r="AC123" s="6"/>
      <c r="AD123" s="6"/>
      <c r="AE123" s="6"/>
    </row>
    <row r="124" spans="1:31" ht="84.75" customHeight="1">
      <c r="A124" s="19">
        <v>6</v>
      </c>
      <c r="B124" s="447" t="str">
        <f>'приложение 7.1'!B125</f>
        <v>Разработка рабочей документации "Строительство КЛ-6 и ТП взамен существующей ТП-244, для электроснабжения школы интерната для одаренных детей им.Г.С.Лебедева"  </v>
      </c>
      <c r="C124" s="229">
        <f>'приложение 7.1'!D125</f>
        <v>0</v>
      </c>
      <c r="D124" s="229"/>
      <c r="E124" s="229">
        <f t="shared" si="97"/>
        <v>0</v>
      </c>
      <c r="F124" s="229">
        <f t="shared" si="98"/>
        <v>0</v>
      </c>
      <c r="G124" s="229">
        <f t="shared" si="99"/>
        <v>0</v>
      </c>
      <c r="H124" s="229">
        <f>'приложение 7.1'!E125+'приложение 7.1'!F125</f>
        <v>0.11738639999999999</v>
      </c>
      <c r="I124" s="229"/>
      <c r="J124" s="229">
        <f>H124*0.5</f>
        <v>0.058693199999999994</v>
      </c>
      <c r="K124" s="229">
        <f>H124*0.45</f>
        <v>0.05282388</v>
      </c>
      <c r="L124" s="229">
        <f t="shared" si="100"/>
        <v>0.00586932</v>
      </c>
      <c r="M124" s="229">
        <f t="shared" si="106"/>
        <v>0.11738639999999999</v>
      </c>
      <c r="N124" s="229">
        <f t="shared" si="106"/>
        <v>0</v>
      </c>
      <c r="O124" s="229">
        <f t="shared" si="106"/>
        <v>0.058693199999999994</v>
      </c>
      <c r="P124" s="229">
        <f t="shared" si="106"/>
        <v>0.05282388</v>
      </c>
      <c r="Q124" s="229">
        <f t="shared" si="106"/>
        <v>0.00586932</v>
      </c>
      <c r="R124" s="229">
        <f t="shared" si="102"/>
        <v>0.11738639999999999</v>
      </c>
      <c r="S124" s="229">
        <f t="shared" si="107"/>
        <v>0</v>
      </c>
      <c r="T124" s="229">
        <f t="shared" si="107"/>
        <v>0.058693199999999994</v>
      </c>
      <c r="U124" s="229">
        <f t="shared" si="107"/>
        <v>0.05282388</v>
      </c>
      <c r="V124" s="229">
        <f t="shared" si="107"/>
        <v>0.00586932</v>
      </c>
      <c r="W124" s="532"/>
      <c r="X124" s="532"/>
      <c r="Y124" s="532"/>
      <c r="Z124" s="76"/>
      <c r="AA124" s="6"/>
      <c r="AB124" s="6"/>
      <c r="AC124" s="6"/>
      <c r="AD124" s="6"/>
      <c r="AE124" s="6"/>
    </row>
    <row r="125" spans="1:31" ht="84.75" customHeight="1">
      <c r="A125" s="19">
        <v>7</v>
      </c>
      <c r="B125" s="447" t="str">
        <f>'приложение 7.1'!B126</f>
        <v>Разработка рабочей документации "Строительство новой КТПН взамен существующей ТП-481 в здании котельной по ул.Тополиная, д.9 г.Чебоксары."  </v>
      </c>
      <c r="C125" s="229">
        <f>'приложение 7.1'!D126</f>
        <v>0</v>
      </c>
      <c r="D125" s="229"/>
      <c r="E125" s="229">
        <f t="shared" si="97"/>
        <v>0</v>
      </c>
      <c r="F125" s="229">
        <f t="shared" si="98"/>
        <v>0</v>
      </c>
      <c r="G125" s="229">
        <f t="shared" si="99"/>
        <v>0</v>
      </c>
      <c r="H125" s="229">
        <f>'приложение 7.1'!E126+'приложение 7.1'!F126</f>
        <v>0.11738639999999999</v>
      </c>
      <c r="I125" s="229"/>
      <c r="J125" s="229">
        <f>H125*0.5</f>
        <v>0.058693199999999994</v>
      </c>
      <c r="K125" s="229">
        <f>H125*0.45</f>
        <v>0.05282388</v>
      </c>
      <c r="L125" s="229">
        <f t="shared" si="100"/>
        <v>0.00586932</v>
      </c>
      <c r="M125" s="229">
        <f t="shared" si="106"/>
        <v>0.11738639999999999</v>
      </c>
      <c r="N125" s="229">
        <f t="shared" si="106"/>
        <v>0</v>
      </c>
      <c r="O125" s="229">
        <f t="shared" si="106"/>
        <v>0.058693199999999994</v>
      </c>
      <c r="P125" s="229">
        <f t="shared" si="106"/>
        <v>0.05282388</v>
      </c>
      <c r="Q125" s="229">
        <f t="shared" si="106"/>
        <v>0.00586932</v>
      </c>
      <c r="R125" s="229">
        <f t="shared" si="102"/>
        <v>0.11738639999999999</v>
      </c>
      <c r="S125" s="229">
        <f t="shared" si="107"/>
        <v>0</v>
      </c>
      <c r="T125" s="229">
        <f t="shared" si="107"/>
        <v>0.058693199999999994</v>
      </c>
      <c r="U125" s="229">
        <f t="shared" si="107"/>
        <v>0.05282388</v>
      </c>
      <c r="V125" s="229">
        <f t="shared" si="107"/>
        <v>0.00586932</v>
      </c>
      <c r="W125" s="532"/>
      <c r="X125" s="532"/>
      <c r="Y125" s="532"/>
      <c r="Z125" s="76"/>
      <c r="AA125" s="6"/>
      <c r="AB125" s="6"/>
      <c r="AC125" s="6"/>
      <c r="AD125" s="6"/>
      <c r="AE125" s="6"/>
    </row>
    <row r="126" spans="1:31" s="16" customFormat="1" ht="30.75" customHeight="1">
      <c r="A126" s="841" t="s">
        <v>903</v>
      </c>
      <c r="B126" s="867" t="str">
        <f>'приложение 7.1'!B127</f>
        <v>г.Цивильск</v>
      </c>
      <c r="C126" s="227">
        <f>SUM(C127:C127)</f>
        <v>0.2596</v>
      </c>
      <c r="D126" s="227">
        <f aca="true" t="shared" si="108" ref="D126:V126">SUM(D127:D127)</f>
        <v>0</v>
      </c>
      <c r="E126" s="227">
        <f t="shared" si="108"/>
        <v>0.1298</v>
      </c>
      <c r="F126" s="227">
        <f t="shared" si="108"/>
        <v>0.11682000000000001</v>
      </c>
      <c r="G126" s="227">
        <f t="shared" si="108"/>
        <v>0.01298</v>
      </c>
      <c r="H126" s="227">
        <f t="shared" si="108"/>
        <v>0</v>
      </c>
      <c r="I126" s="227">
        <f t="shared" si="108"/>
        <v>0</v>
      </c>
      <c r="J126" s="227">
        <f t="shared" si="108"/>
        <v>0</v>
      </c>
      <c r="K126" s="227">
        <f t="shared" si="108"/>
        <v>0</v>
      </c>
      <c r="L126" s="227">
        <f t="shared" si="108"/>
        <v>0</v>
      </c>
      <c r="M126" s="227">
        <f t="shared" si="108"/>
        <v>-0.2596</v>
      </c>
      <c r="N126" s="227">
        <f t="shared" si="108"/>
        <v>0</v>
      </c>
      <c r="O126" s="227">
        <f t="shared" si="108"/>
        <v>-0.1298</v>
      </c>
      <c r="P126" s="227">
        <f t="shared" si="108"/>
        <v>-0.11682000000000001</v>
      </c>
      <c r="Q126" s="227">
        <f t="shared" si="108"/>
        <v>-0.01298</v>
      </c>
      <c r="R126" s="227">
        <f t="shared" si="108"/>
        <v>0</v>
      </c>
      <c r="S126" s="227">
        <f t="shared" si="108"/>
        <v>0</v>
      </c>
      <c r="T126" s="227">
        <f t="shared" si="108"/>
        <v>0</v>
      </c>
      <c r="U126" s="227">
        <f t="shared" si="108"/>
        <v>0</v>
      </c>
      <c r="V126" s="227">
        <f t="shared" si="108"/>
        <v>0</v>
      </c>
      <c r="W126" s="156"/>
      <c r="X126" s="156"/>
      <c r="Y126" s="156"/>
      <c r="Z126" s="156"/>
      <c r="AA126" s="27"/>
      <c r="AB126" s="27"/>
      <c r="AC126" s="27"/>
      <c r="AD126" s="27"/>
      <c r="AE126" s="227"/>
    </row>
    <row r="127" spans="1:31" ht="43.5" customHeight="1">
      <c r="A127" s="19">
        <v>1</v>
      </c>
      <c r="B127" s="447" t="str">
        <f>'приложение 7.1'!B128</f>
        <v>ТП-10 кВ (для электроснабжения многодетных семей)</v>
      </c>
      <c r="C127" s="229">
        <f>'приложение 7.1'!D128</f>
        <v>0.2596</v>
      </c>
      <c r="D127" s="229"/>
      <c r="E127" s="229">
        <f>C127*0.5</f>
        <v>0.1298</v>
      </c>
      <c r="F127" s="229">
        <f>C127*0.45</f>
        <v>0.11682000000000001</v>
      </c>
      <c r="G127" s="229">
        <f>C127*0.05</f>
        <v>0.01298</v>
      </c>
      <c r="H127" s="229">
        <f>'приложение 7.1'!E128</f>
        <v>0</v>
      </c>
      <c r="I127" s="229"/>
      <c r="J127" s="229">
        <f>H127*0.25</f>
        <v>0</v>
      </c>
      <c r="K127" s="229">
        <f>H127*0.7</f>
        <v>0</v>
      </c>
      <c r="L127" s="229">
        <f>H127*0.05</f>
        <v>0</v>
      </c>
      <c r="M127" s="229">
        <f>H127-C127</f>
        <v>-0.2596</v>
      </c>
      <c r="N127" s="229">
        <f>I127-D127</f>
        <v>0</v>
      </c>
      <c r="O127" s="229">
        <f>J127-E127</f>
        <v>-0.1298</v>
      </c>
      <c r="P127" s="229">
        <f>K127-F127</f>
        <v>-0.11682000000000001</v>
      </c>
      <c r="Q127" s="229">
        <f>L127-G127</f>
        <v>-0.01298</v>
      </c>
      <c r="R127" s="229">
        <f>SUM(S127:V127)</f>
        <v>0</v>
      </c>
      <c r="S127" s="229">
        <f>I127</f>
        <v>0</v>
      </c>
      <c r="T127" s="229">
        <f>J127</f>
        <v>0</v>
      </c>
      <c r="U127" s="229">
        <f>K127</f>
        <v>0</v>
      </c>
      <c r="V127" s="229">
        <f>L127</f>
        <v>0</v>
      </c>
      <c r="W127" s="532"/>
      <c r="X127" s="532"/>
      <c r="Y127" s="532"/>
      <c r="Z127" s="76" t="s">
        <v>940</v>
      </c>
      <c r="AA127" s="6">
        <v>2014</v>
      </c>
      <c r="AB127" s="6"/>
      <c r="AC127" s="6"/>
      <c r="AD127" s="6"/>
      <c r="AE127" s="6"/>
    </row>
    <row r="128" spans="1:31" ht="15.75">
      <c r="A128" s="278" t="s">
        <v>682</v>
      </c>
      <c r="B128" s="826" t="s">
        <v>796</v>
      </c>
      <c r="C128" s="290">
        <f>C129+C134+C136</f>
        <v>2.80427</v>
      </c>
      <c r="D128" s="290">
        <f aca="true" t="shared" si="109" ref="D128:V128">D129+D134+D136</f>
        <v>0.7669999999999999</v>
      </c>
      <c r="E128" s="290">
        <f t="shared" si="109"/>
        <v>1.018635</v>
      </c>
      <c r="F128" s="290">
        <f t="shared" si="109"/>
        <v>0.9167715</v>
      </c>
      <c r="G128" s="290">
        <f t="shared" si="109"/>
        <v>0.1018635</v>
      </c>
      <c r="H128" s="290">
        <f t="shared" si="109"/>
        <v>8.0743624</v>
      </c>
      <c r="I128" s="290">
        <f t="shared" si="109"/>
        <v>0</v>
      </c>
      <c r="J128" s="290">
        <f t="shared" si="109"/>
        <v>2.0185906</v>
      </c>
      <c r="K128" s="290">
        <f t="shared" si="109"/>
        <v>5.652053679999999</v>
      </c>
      <c r="L128" s="290">
        <f t="shared" si="109"/>
        <v>0.40371811999999996</v>
      </c>
      <c r="M128" s="290">
        <f t="shared" si="109"/>
        <v>5.270092399999999</v>
      </c>
      <c r="N128" s="290">
        <f t="shared" si="109"/>
        <v>-0.7669999999999999</v>
      </c>
      <c r="O128" s="290">
        <f t="shared" si="109"/>
        <v>0.9999556000000001</v>
      </c>
      <c r="P128" s="290">
        <f t="shared" si="109"/>
        <v>4.735282179999999</v>
      </c>
      <c r="Q128" s="290">
        <f t="shared" si="109"/>
        <v>0.30185461999999996</v>
      </c>
      <c r="R128" s="290">
        <f t="shared" si="109"/>
        <v>8.0743624</v>
      </c>
      <c r="S128" s="290">
        <f t="shared" si="109"/>
        <v>0</v>
      </c>
      <c r="T128" s="290">
        <f t="shared" si="109"/>
        <v>2.0185906</v>
      </c>
      <c r="U128" s="290">
        <f t="shared" si="109"/>
        <v>5.652053679999999</v>
      </c>
      <c r="V128" s="290">
        <f t="shared" si="109"/>
        <v>0.40371811999999996</v>
      </c>
      <c r="W128" s="275"/>
      <c r="X128" s="275"/>
      <c r="Y128" s="275"/>
      <c r="Z128" s="275"/>
      <c r="AA128" s="275"/>
      <c r="AB128" s="275"/>
      <c r="AC128" s="275"/>
      <c r="AD128" s="275"/>
      <c r="AE128" s="275"/>
    </row>
    <row r="129" spans="1:31" s="16" customFormat="1" ht="30.75" customHeight="1">
      <c r="A129" s="841" t="s">
        <v>904</v>
      </c>
      <c r="B129" s="867" t="str">
        <f>'приложение 7.1'!B130</f>
        <v>г.Чебоксары</v>
      </c>
      <c r="C129" s="227">
        <f>SUM(C130:C133)</f>
        <v>0.472</v>
      </c>
      <c r="D129" s="227">
        <f aca="true" t="shared" si="110" ref="D129:V129">SUM(D130:D133)</f>
        <v>0.472</v>
      </c>
      <c r="E129" s="227">
        <f t="shared" si="110"/>
        <v>0</v>
      </c>
      <c r="F129" s="227">
        <f t="shared" si="110"/>
        <v>0</v>
      </c>
      <c r="G129" s="227">
        <f t="shared" si="110"/>
        <v>0</v>
      </c>
      <c r="H129" s="227">
        <f t="shared" si="110"/>
        <v>7.9329393999999995</v>
      </c>
      <c r="I129" s="227">
        <f t="shared" si="110"/>
        <v>0</v>
      </c>
      <c r="J129" s="227">
        <f t="shared" si="110"/>
        <v>1.9832348499999999</v>
      </c>
      <c r="K129" s="227">
        <f t="shared" si="110"/>
        <v>5.553057579999999</v>
      </c>
      <c r="L129" s="227">
        <f t="shared" si="110"/>
        <v>0.39664697</v>
      </c>
      <c r="M129" s="227">
        <f t="shared" si="110"/>
        <v>7.460939399999999</v>
      </c>
      <c r="N129" s="227">
        <f t="shared" si="110"/>
        <v>-0.472</v>
      </c>
      <c r="O129" s="227">
        <f t="shared" si="110"/>
        <v>1.9832348499999999</v>
      </c>
      <c r="P129" s="227">
        <f t="shared" si="110"/>
        <v>5.553057579999999</v>
      </c>
      <c r="Q129" s="227">
        <f t="shared" si="110"/>
        <v>0.39664697</v>
      </c>
      <c r="R129" s="227">
        <f t="shared" si="110"/>
        <v>7.9329393999999995</v>
      </c>
      <c r="S129" s="227">
        <f t="shared" si="110"/>
        <v>0</v>
      </c>
      <c r="T129" s="227">
        <f t="shared" si="110"/>
        <v>1.9832348499999999</v>
      </c>
      <c r="U129" s="227">
        <f t="shared" si="110"/>
        <v>5.553057579999999</v>
      </c>
      <c r="V129" s="227">
        <f t="shared" si="110"/>
        <v>0.39664697</v>
      </c>
      <c r="W129" s="156"/>
      <c r="X129" s="156"/>
      <c r="Y129" s="156"/>
      <c r="Z129" s="156"/>
      <c r="AA129" s="27"/>
      <c r="AB129" s="27"/>
      <c r="AC129" s="27"/>
      <c r="AD129" s="27"/>
      <c r="AE129" s="227"/>
    </row>
    <row r="130" spans="1:31" ht="68.25" customHeight="1">
      <c r="A130" s="19">
        <v>1</v>
      </c>
      <c r="B130" s="447" t="str">
        <f>'приложение 7.1'!B131</f>
        <v>по ул.Тальниковая, Юности, Сплавная в п.Сосновка (земельные участки для многодетных семей), разработка рабочей документации</v>
      </c>
      <c r="C130" s="229">
        <f>'приложение 7.1'!D131</f>
        <v>0.236</v>
      </c>
      <c r="D130" s="229">
        <f>C130</f>
        <v>0.236</v>
      </c>
      <c r="E130" s="229">
        <v>0</v>
      </c>
      <c r="F130" s="229">
        <v>0</v>
      </c>
      <c r="G130" s="229">
        <v>0</v>
      </c>
      <c r="H130" s="229">
        <f>'приложение 7.1'!E131</f>
        <v>0.1064124</v>
      </c>
      <c r="I130" s="229"/>
      <c r="J130" s="229">
        <f>H130*0.25</f>
        <v>0.0266031</v>
      </c>
      <c r="K130" s="229">
        <f>H130*0.7</f>
        <v>0.07448868</v>
      </c>
      <c r="L130" s="229">
        <f>H130*0.05</f>
        <v>0.005320620000000001</v>
      </c>
      <c r="M130" s="229">
        <f aca="true" t="shared" si="111" ref="M130:Q131">H130-C130</f>
        <v>-0.12958759999999997</v>
      </c>
      <c r="N130" s="229">
        <f t="shared" si="111"/>
        <v>-0.236</v>
      </c>
      <c r="O130" s="229">
        <f t="shared" si="111"/>
        <v>0.0266031</v>
      </c>
      <c r="P130" s="229">
        <f t="shared" si="111"/>
        <v>0.07448868</v>
      </c>
      <c r="Q130" s="229">
        <f t="shared" si="111"/>
        <v>0.005320620000000001</v>
      </c>
      <c r="R130" s="229">
        <f>SUM(S130:V130)</f>
        <v>0.1064124</v>
      </c>
      <c r="S130" s="229">
        <f aca="true" t="shared" si="112" ref="S130:V131">I130</f>
        <v>0</v>
      </c>
      <c r="T130" s="229">
        <f t="shared" si="112"/>
        <v>0.0266031</v>
      </c>
      <c r="U130" s="229">
        <f t="shared" si="112"/>
        <v>0.07448868</v>
      </c>
      <c r="V130" s="229">
        <f t="shared" si="112"/>
        <v>0.005320620000000001</v>
      </c>
      <c r="W130" s="532"/>
      <c r="X130" s="532"/>
      <c r="Y130" s="532"/>
      <c r="Z130" s="76"/>
      <c r="AA130" s="6"/>
      <c r="AB130" s="6"/>
      <c r="AC130" s="6"/>
      <c r="AD130" s="6"/>
      <c r="AE130" s="6" t="s">
        <v>941</v>
      </c>
    </row>
    <row r="131" spans="1:31" ht="75" customHeight="1">
      <c r="A131" s="19">
        <v>2</v>
      </c>
      <c r="B131" s="447" t="str">
        <f>'приложение 7.1'!B132</f>
        <v>Строительство ВЛИ-0,4 кВ, ТП кВ по ул.Новая в п.Сосновка (для электроснабжения многодетных семей), разработка рабочей документации </v>
      </c>
      <c r="C131" s="229">
        <f>'приложение 7.1'!D132</f>
        <v>0.236</v>
      </c>
      <c r="D131" s="229">
        <f>C131</f>
        <v>0.236</v>
      </c>
      <c r="E131" s="229">
        <v>0</v>
      </c>
      <c r="F131" s="229">
        <v>0</v>
      </c>
      <c r="G131" s="229">
        <v>0</v>
      </c>
      <c r="H131" s="229">
        <f>'приложение 7.1'!E132</f>
        <v>0.0665874</v>
      </c>
      <c r="I131" s="229"/>
      <c r="J131" s="229">
        <f>H131*0.25</f>
        <v>0.01664685</v>
      </c>
      <c r="K131" s="229">
        <f>H131*0.7</f>
        <v>0.04661118</v>
      </c>
      <c r="L131" s="229">
        <f>H131*0.05</f>
        <v>0.0033293700000000003</v>
      </c>
      <c r="M131" s="229">
        <f t="shared" si="111"/>
        <v>-0.16941259999999997</v>
      </c>
      <c r="N131" s="229">
        <f t="shared" si="111"/>
        <v>-0.236</v>
      </c>
      <c r="O131" s="229">
        <f t="shared" si="111"/>
        <v>0.01664685</v>
      </c>
      <c r="P131" s="229">
        <f t="shared" si="111"/>
        <v>0.04661118</v>
      </c>
      <c r="Q131" s="229">
        <f t="shared" si="111"/>
        <v>0.0033293700000000003</v>
      </c>
      <c r="R131" s="229">
        <f>SUM(S131:V131)</f>
        <v>0.0665874</v>
      </c>
      <c r="S131" s="229">
        <f t="shared" si="112"/>
        <v>0</v>
      </c>
      <c r="T131" s="229">
        <f t="shared" si="112"/>
        <v>0.01664685</v>
      </c>
      <c r="U131" s="229">
        <f t="shared" si="112"/>
        <v>0.04661118</v>
      </c>
      <c r="V131" s="229">
        <f t="shared" si="112"/>
        <v>0.0033293700000000003</v>
      </c>
      <c r="W131" s="532"/>
      <c r="X131" s="532"/>
      <c r="Y131" s="532"/>
      <c r="Z131" s="76"/>
      <c r="AA131" s="6"/>
      <c r="AB131" s="6"/>
      <c r="AC131" s="6"/>
      <c r="AD131" s="6"/>
      <c r="AE131" s="6" t="s">
        <v>942</v>
      </c>
    </row>
    <row r="132" spans="1:31" ht="75" customHeight="1">
      <c r="A132" s="19">
        <v>3</v>
      </c>
      <c r="B132" s="447" t="str">
        <f>'приложение 7.1'!B133</f>
        <v>Строительство ВЛИ-0,4 кВот ТП-661 до садовых домиков в р-не НСТ "Ивушка", г.Чебоксары</v>
      </c>
      <c r="C132" s="229">
        <f>'приложение 7.1'!D133</f>
        <v>0</v>
      </c>
      <c r="D132" s="229">
        <f>C132</f>
        <v>0</v>
      </c>
      <c r="E132" s="229">
        <v>0</v>
      </c>
      <c r="F132" s="229">
        <v>0</v>
      </c>
      <c r="G132" s="229">
        <v>0</v>
      </c>
      <c r="H132" s="229">
        <f>'приложение 7.1'!E133</f>
        <v>6.5917395999999995</v>
      </c>
      <c r="I132" s="229"/>
      <c r="J132" s="229">
        <f>H132*0.25</f>
        <v>1.6479348999999999</v>
      </c>
      <c r="K132" s="229">
        <f>H132*0.7</f>
        <v>4.614217719999999</v>
      </c>
      <c r="L132" s="229">
        <f>H132*0.05</f>
        <v>0.32958698</v>
      </c>
      <c r="M132" s="229">
        <f aca="true" t="shared" si="113" ref="M132:Q133">H132-C132</f>
        <v>6.5917395999999995</v>
      </c>
      <c r="N132" s="229">
        <f t="shared" si="113"/>
        <v>0</v>
      </c>
      <c r="O132" s="229">
        <f t="shared" si="113"/>
        <v>1.6479348999999999</v>
      </c>
      <c r="P132" s="229">
        <f t="shared" si="113"/>
        <v>4.614217719999999</v>
      </c>
      <c r="Q132" s="229">
        <f t="shared" si="113"/>
        <v>0.32958698</v>
      </c>
      <c r="R132" s="229">
        <f>SUM(S132:V132)</f>
        <v>6.5917395999999995</v>
      </c>
      <c r="S132" s="229">
        <f aca="true" t="shared" si="114" ref="S132:V133">I132</f>
        <v>0</v>
      </c>
      <c r="T132" s="229">
        <f t="shared" si="114"/>
        <v>1.6479348999999999</v>
      </c>
      <c r="U132" s="229">
        <f t="shared" si="114"/>
        <v>4.614217719999999</v>
      </c>
      <c r="V132" s="229">
        <f t="shared" si="114"/>
        <v>0.32958698</v>
      </c>
      <c r="W132" s="532"/>
      <c r="X132" s="532"/>
      <c r="Y132" s="532"/>
      <c r="Z132" s="76"/>
      <c r="AA132" s="6"/>
      <c r="AB132" s="6"/>
      <c r="AC132" s="6"/>
      <c r="AD132" s="6"/>
      <c r="AE132" s="6" t="s">
        <v>942</v>
      </c>
    </row>
    <row r="133" spans="1:31" ht="75" customHeight="1">
      <c r="A133" s="19">
        <v>4</v>
      </c>
      <c r="B133" s="447" t="str">
        <f>'приложение 7.1'!B134</f>
        <v>Строительство ВЛИ-0,4 кВот ТП-527 до садовых домиков в р-не НСТ "Лесное", г.Чебоксары</v>
      </c>
      <c r="C133" s="229">
        <f>'приложение 7.1'!D134</f>
        <v>0</v>
      </c>
      <c r="D133" s="229">
        <f>C133</f>
        <v>0</v>
      </c>
      <c r="E133" s="229">
        <v>0</v>
      </c>
      <c r="F133" s="229">
        <v>0</v>
      </c>
      <c r="G133" s="229">
        <v>0</v>
      </c>
      <c r="H133" s="229">
        <f>'приложение 7.1'!E134</f>
        <v>1.1682</v>
      </c>
      <c r="I133" s="229"/>
      <c r="J133" s="229">
        <f>H133*0.25</f>
        <v>0.29205</v>
      </c>
      <c r="K133" s="229">
        <f>H133*0.7</f>
        <v>0.8177399999999999</v>
      </c>
      <c r="L133" s="229">
        <f>H133*0.05</f>
        <v>0.05841</v>
      </c>
      <c r="M133" s="229">
        <f t="shared" si="113"/>
        <v>1.1682</v>
      </c>
      <c r="N133" s="229">
        <f t="shared" si="113"/>
        <v>0</v>
      </c>
      <c r="O133" s="229">
        <f t="shared" si="113"/>
        <v>0.29205</v>
      </c>
      <c r="P133" s="229">
        <f t="shared" si="113"/>
        <v>0.8177399999999999</v>
      </c>
      <c r="Q133" s="229">
        <f t="shared" si="113"/>
        <v>0.05841</v>
      </c>
      <c r="R133" s="229">
        <f>SUM(S133:V133)</f>
        <v>1.1682</v>
      </c>
      <c r="S133" s="229">
        <f t="shared" si="114"/>
        <v>0</v>
      </c>
      <c r="T133" s="229">
        <f t="shared" si="114"/>
        <v>0.29205</v>
      </c>
      <c r="U133" s="229">
        <f t="shared" si="114"/>
        <v>0.8177399999999999</v>
      </c>
      <c r="V133" s="229">
        <f t="shared" si="114"/>
        <v>0.05841</v>
      </c>
      <c r="W133" s="532"/>
      <c r="X133" s="532"/>
      <c r="Y133" s="532"/>
      <c r="Z133" s="76"/>
      <c r="AA133" s="6"/>
      <c r="AB133" s="6"/>
      <c r="AC133" s="6"/>
      <c r="AD133" s="6"/>
      <c r="AE133" s="6" t="s">
        <v>942</v>
      </c>
    </row>
    <row r="134" spans="1:31" s="16" customFormat="1" ht="30.75" customHeight="1">
      <c r="A134" s="841" t="s">
        <v>905</v>
      </c>
      <c r="B134" s="867" t="str">
        <f>'приложение 7.1'!B135</f>
        <v>г.Мариинский Посад</v>
      </c>
      <c r="C134" s="227">
        <f>C135</f>
        <v>0.295</v>
      </c>
      <c r="D134" s="227">
        <f aca="true" t="shared" si="115" ref="D134:V134">D135</f>
        <v>0.295</v>
      </c>
      <c r="E134" s="227">
        <f t="shared" si="115"/>
        <v>0</v>
      </c>
      <c r="F134" s="227">
        <f t="shared" si="115"/>
        <v>0</v>
      </c>
      <c r="G134" s="227">
        <f t="shared" si="115"/>
        <v>0</v>
      </c>
      <c r="H134" s="227">
        <f t="shared" si="115"/>
        <v>0.14142299999999997</v>
      </c>
      <c r="I134" s="227">
        <f t="shared" si="115"/>
        <v>0</v>
      </c>
      <c r="J134" s="227">
        <f t="shared" si="115"/>
        <v>0.03535574999999999</v>
      </c>
      <c r="K134" s="227">
        <f t="shared" si="115"/>
        <v>0.09899609999999998</v>
      </c>
      <c r="L134" s="227">
        <f t="shared" si="115"/>
        <v>0.007071149999999998</v>
      </c>
      <c r="M134" s="227">
        <f t="shared" si="115"/>
        <v>-0.15357700000000002</v>
      </c>
      <c r="N134" s="227">
        <f t="shared" si="115"/>
        <v>-0.295</v>
      </c>
      <c r="O134" s="227">
        <f t="shared" si="115"/>
        <v>0.03535574999999999</v>
      </c>
      <c r="P134" s="227">
        <f t="shared" si="115"/>
        <v>0.09899609999999998</v>
      </c>
      <c r="Q134" s="227">
        <f t="shared" si="115"/>
        <v>0.007071149999999998</v>
      </c>
      <c r="R134" s="227">
        <f t="shared" si="115"/>
        <v>0.14142299999999997</v>
      </c>
      <c r="S134" s="227">
        <f t="shared" si="115"/>
        <v>0</v>
      </c>
      <c r="T134" s="227">
        <f t="shared" si="115"/>
        <v>0.03535574999999999</v>
      </c>
      <c r="U134" s="227">
        <f t="shared" si="115"/>
        <v>0.09899609999999998</v>
      </c>
      <c r="V134" s="227">
        <f t="shared" si="115"/>
        <v>0.007071149999999998</v>
      </c>
      <c r="W134" s="156"/>
      <c r="X134" s="156"/>
      <c r="Y134" s="156"/>
      <c r="Z134" s="156"/>
      <c r="AA134" s="27"/>
      <c r="AB134" s="27"/>
      <c r="AC134" s="27"/>
      <c r="AD134" s="27"/>
      <c r="AE134" s="227"/>
    </row>
    <row r="135" spans="1:31" ht="55.5" customHeight="1">
      <c r="A135" s="19">
        <v>1</v>
      </c>
      <c r="B135" s="447" t="str">
        <f>'приложение 7.1'!B136</f>
        <v>от ТП-5 (для электроснабжения многодетных семей), разработка рабочей документации</v>
      </c>
      <c r="C135" s="229">
        <f>'приложение 7.1'!D136</f>
        <v>0.295</v>
      </c>
      <c r="D135" s="229">
        <f>C135</f>
        <v>0.295</v>
      </c>
      <c r="E135" s="229">
        <v>0</v>
      </c>
      <c r="F135" s="229">
        <v>0</v>
      </c>
      <c r="G135" s="229">
        <v>0</v>
      </c>
      <c r="H135" s="229">
        <f>'приложение 7.1'!E136</f>
        <v>0.14142299999999997</v>
      </c>
      <c r="I135" s="229"/>
      <c r="J135" s="229">
        <f>H135*0.25</f>
        <v>0.03535574999999999</v>
      </c>
      <c r="K135" s="229">
        <f>H135*0.7</f>
        <v>0.09899609999999998</v>
      </c>
      <c r="L135" s="229">
        <f>H135*0.05</f>
        <v>0.007071149999999998</v>
      </c>
      <c r="M135" s="229">
        <f>H135-C135</f>
        <v>-0.15357700000000002</v>
      </c>
      <c r="N135" s="229">
        <f>I135-D135</f>
        <v>-0.295</v>
      </c>
      <c r="O135" s="229">
        <f>J135-E135</f>
        <v>0.03535574999999999</v>
      </c>
      <c r="P135" s="229">
        <f>K135-F135</f>
        <v>0.09899609999999998</v>
      </c>
      <c r="Q135" s="229">
        <f>L135-G135</f>
        <v>0.007071149999999998</v>
      </c>
      <c r="R135" s="229">
        <f>SUM(S135:V135)</f>
        <v>0.14142299999999997</v>
      </c>
      <c r="S135" s="229">
        <f>I135</f>
        <v>0</v>
      </c>
      <c r="T135" s="229">
        <f>J135</f>
        <v>0.03535574999999999</v>
      </c>
      <c r="U135" s="229">
        <f>K135</f>
        <v>0.09899609999999998</v>
      </c>
      <c r="V135" s="229">
        <f>L135</f>
        <v>0.007071149999999998</v>
      </c>
      <c r="W135" s="532"/>
      <c r="X135" s="532"/>
      <c r="Y135" s="532"/>
      <c r="Z135" s="76"/>
      <c r="AA135" s="6"/>
      <c r="AB135" s="6"/>
      <c r="AC135" s="6"/>
      <c r="AD135" s="6"/>
      <c r="AE135" s="6" t="s">
        <v>943</v>
      </c>
    </row>
    <row r="136" spans="1:31" s="16" customFormat="1" ht="30.75" customHeight="1">
      <c r="A136" s="841" t="s">
        <v>906</v>
      </c>
      <c r="B136" s="867" t="str">
        <f>'приложение 7.1'!B137</f>
        <v>г.Цивильск</v>
      </c>
      <c r="C136" s="227">
        <f>C137</f>
        <v>2.03727</v>
      </c>
      <c r="D136" s="227">
        <f aca="true" t="shared" si="116" ref="D136:V136">D137</f>
        <v>0</v>
      </c>
      <c r="E136" s="227">
        <f t="shared" si="116"/>
        <v>1.018635</v>
      </c>
      <c r="F136" s="227">
        <f t="shared" si="116"/>
        <v>0.9167715</v>
      </c>
      <c r="G136" s="227">
        <f t="shared" si="116"/>
        <v>0.1018635</v>
      </c>
      <c r="H136" s="227">
        <f t="shared" si="116"/>
        <v>0</v>
      </c>
      <c r="I136" s="227">
        <f t="shared" si="116"/>
        <v>0</v>
      </c>
      <c r="J136" s="227">
        <f t="shared" si="116"/>
        <v>0</v>
      </c>
      <c r="K136" s="227">
        <f t="shared" si="116"/>
        <v>0</v>
      </c>
      <c r="L136" s="227">
        <f t="shared" si="116"/>
        <v>0</v>
      </c>
      <c r="M136" s="227">
        <f t="shared" si="116"/>
        <v>-2.03727</v>
      </c>
      <c r="N136" s="227">
        <f t="shared" si="116"/>
        <v>0</v>
      </c>
      <c r="O136" s="227">
        <f t="shared" si="116"/>
        <v>-1.018635</v>
      </c>
      <c r="P136" s="227">
        <f t="shared" si="116"/>
        <v>-0.9167715</v>
      </c>
      <c r="Q136" s="227">
        <f t="shared" si="116"/>
        <v>-0.1018635</v>
      </c>
      <c r="R136" s="227">
        <f t="shared" si="116"/>
        <v>0</v>
      </c>
      <c r="S136" s="227">
        <f t="shared" si="116"/>
        <v>0</v>
      </c>
      <c r="T136" s="227">
        <f t="shared" si="116"/>
        <v>0</v>
      </c>
      <c r="U136" s="227">
        <f t="shared" si="116"/>
        <v>0</v>
      </c>
      <c r="V136" s="227">
        <f t="shared" si="116"/>
        <v>0</v>
      </c>
      <c r="W136" s="156"/>
      <c r="X136" s="156"/>
      <c r="Y136" s="156"/>
      <c r="Z136" s="156"/>
      <c r="AA136" s="27"/>
      <c r="AB136" s="27"/>
      <c r="AC136" s="27"/>
      <c r="AD136" s="27"/>
      <c r="AE136" s="227"/>
    </row>
    <row r="137" spans="1:31" ht="52.5" customHeight="1">
      <c r="A137" s="19">
        <v>1</v>
      </c>
      <c r="B137" s="447" t="str">
        <f>'приложение 7.1'!B138</f>
        <v> ВЛИ в микрорайоне "Южный" (для электроснабжения многодетных семей)</v>
      </c>
      <c r="C137" s="229">
        <f>'приложение 7.1'!D138</f>
        <v>2.03727</v>
      </c>
      <c r="D137" s="229"/>
      <c r="E137" s="229">
        <f>C137*0.5</f>
        <v>1.018635</v>
      </c>
      <c r="F137" s="229">
        <f>C137*0.45</f>
        <v>0.9167715</v>
      </c>
      <c r="G137" s="229">
        <f>C137*0.05</f>
        <v>0.1018635</v>
      </c>
      <c r="H137" s="229">
        <f>'приложение 7.1'!E138</f>
        <v>0</v>
      </c>
      <c r="I137" s="229"/>
      <c r="J137" s="229">
        <f>H137*0.25</f>
        <v>0</v>
      </c>
      <c r="K137" s="229">
        <f>H137*0.7</f>
        <v>0</v>
      </c>
      <c r="L137" s="229">
        <f>H137*0.05</f>
        <v>0</v>
      </c>
      <c r="M137" s="229">
        <f>H137-C137</f>
        <v>-2.03727</v>
      </c>
      <c r="N137" s="229">
        <f>I137-D137</f>
        <v>0</v>
      </c>
      <c r="O137" s="229">
        <f>J137-E137</f>
        <v>-1.018635</v>
      </c>
      <c r="P137" s="229">
        <f>K137-F137</f>
        <v>-0.9167715</v>
      </c>
      <c r="Q137" s="229">
        <f>L137-G137</f>
        <v>-0.1018635</v>
      </c>
      <c r="R137" s="229">
        <f>SUM(S137:V137)</f>
        <v>0</v>
      </c>
      <c r="S137" s="229">
        <f>I137</f>
        <v>0</v>
      </c>
      <c r="T137" s="229">
        <f>J137</f>
        <v>0</v>
      </c>
      <c r="U137" s="229">
        <f>K137</f>
        <v>0</v>
      </c>
      <c r="V137" s="229">
        <f>L137</f>
        <v>0</v>
      </c>
      <c r="W137" s="532"/>
      <c r="X137" s="532"/>
      <c r="Y137" s="532"/>
      <c r="Z137" s="76"/>
      <c r="AA137" s="6">
        <v>2014</v>
      </c>
      <c r="AB137" s="6"/>
      <c r="AC137" s="6"/>
      <c r="AD137" s="6"/>
      <c r="AE137" s="6" t="s">
        <v>945</v>
      </c>
    </row>
    <row r="138" spans="1:31" ht="15.75">
      <c r="A138" s="278" t="s">
        <v>819</v>
      </c>
      <c r="B138" s="826" t="str">
        <f>'приложение 7.1'!B139</f>
        <v>ВЛ-6 кВ</v>
      </c>
      <c r="C138" s="290">
        <f>C139</f>
        <v>2.5892622</v>
      </c>
      <c r="D138" s="290">
        <f aca="true" t="shared" si="117" ref="D138:V138">D139</f>
        <v>0</v>
      </c>
      <c r="E138" s="290">
        <f t="shared" si="117"/>
        <v>1.2946311</v>
      </c>
      <c r="F138" s="290">
        <f t="shared" si="117"/>
        <v>1.16516799</v>
      </c>
      <c r="G138" s="290">
        <f t="shared" si="117"/>
        <v>0.12946311</v>
      </c>
      <c r="H138" s="290">
        <f t="shared" si="117"/>
        <v>1.5758073999999997</v>
      </c>
      <c r="I138" s="290">
        <f t="shared" si="117"/>
        <v>0</v>
      </c>
      <c r="J138" s="290">
        <f t="shared" si="117"/>
        <v>0.39395184999999994</v>
      </c>
      <c r="K138" s="290">
        <f t="shared" si="117"/>
        <v>1.1030651799999998</v>
      </c>
      <c r="L138" s="290">
        <f t="shared" si="117"/>
        <v>0.07879037</v>
      </c>
      <c r="M138" s="290">
        <f t="shared" si="117"/>
        <v>-1.0134548</v>
      </c>
      <c r="N138" s="290">
        <f t="shared" si="117"/>
        <v>0</v>
      </c>
      <c r="O138" s="290">
        <f t="shared" si="117"/>
        <v>-0.90067925</v>
      </c>
      <c r="P138" s="290">
        <f t="shared" si="117"/>
        <v>-0.062102810000000286</v>
      </c>
      <c r="Q138" s="290">
        <f t="shared" si="117"/>
        <v>-0.050672739999999994</v>
      </c>
      <c r="R138" s="290">
        <f t="shared" si="117"/>
        <v>1.5758073999999995</v>
      </c>
      <c r="S138" s="290">
        <f t="shared" si="117"/>
        <v>0</v>
      </c>
      <c r="T138" s="290">
        <f t="shared" si="117"/>
        <v>0.39395184999999994</v>
      </c>
      <c r="U138" s="290">
        <f t="shared" si="117"/>
        <v>1.1030651799999998</v>
      </c>
      <c r="V138" s="290">
        <f t="shared" si="117"/>
        <v>0.07879037</v>
      </c>
      <c r="W138" s="275"/>
      <c r="X138" s="275"/>
      <c r="Y138" s="275"/>
      <c r="Z138" s="275"/>
      <c r="AA138" s="275"/>
      <c r="AB138" s="275"/>
      <c r="AC138" s="275"/>
      <c r="AD138" s="275"/>
      <c r="AE138" s="275"/>
    </row>
    <row r="139" spans="1:31" s="16" customFormat="1" ht="30.75" customHeight="1">
      <c r="A139" s="841" t="s">
        <v>907</v>
      </c>
      <c r="B139" s="867" t="str">
        <f>'приложение 7.1'!B140</f>
        <v>г.Чебоксары</v>
      </c>
      <c r="C139" s="227">
        <f>SUM(C140:C141)</f>
        <v>2.5892622</v>
      </c>
      <c r="D139" s="227">
        <f aca="true" t="shared" si="118" ref="D139:V139">SUM(D140:D141)</f>
        <v>0</v>
      </c>
      <c r="E139" s="227">
        <f t="shared" si="118"/>
        <v>1.2946311</v>
      </c>
      <c r="F139" s="227">
        <f t="shared" si="118"/>
        <v>1.16516799</v>
      </c>
      <c r="G139" s="227">
        <f t="shared" si="118"/>
        <v>0.12946311</v>
      </c>
      <c r="H139" s="227">
        <f t="shared" si="118"/>
        <v>1.5758073999999997</v>
      </c>
      <c r="I139" s="227">
        <f t="shared" si="118"/>
        <v>0</v>
      </c>
      <c r="J139" s="227">
        <f t="shared" si="118"/>
        <v>0.39395184999999994</v>
      </c>
      <c r="K139" s="227">
        <f t="shared" si="118"/>
        <v>1.1030651799999998</v>
      </c>
      <c r="L139" s="227">
        <f t="shared" si="118"/>
        <v>0.07879037</v>
      </c>
      <c r="M139" s="227">
        <f t="shared" si="118"/>
        <v>-1.0134548</v>
      </c>
      <c r="N139" s="227">
        <f t="shared" si="118"/>
        <v>0</v>
      </c>
      <c r="O139" s="227">
        <f t="shared" si="118"/>
        <v>-0.90067925</v>
      </c>
      <c r="P139" s="227">
        <f t="shared" si="118"/>
        <v>-0.062102810000000286</v>
      </c>
      <c r="Q139" s="227">
        <f t="shared" si="118"/>
        <v>-0.050672739999999994</v>
      </c>
      <c r="R139" s="227">
        <f t="shared" si="118"/>
        <v>1.5758073999999995</v>
      </c>
      <c r="S139" s="227">
        <f t="shared" si="118"/>
        <v>0</v>
      </c>
      <c r="T139" s="227">
        <f t="shared" si="118"/>
        <v>0.39395184999999994</v>
      </c>
      <c r="U139" s="227">
        <f t="shared" si="118"/>
        <v>1.1030651799999998</v>
      </c>
      <c r="V139" s="227">
        <f t="shared" si="118"/>
        <v>0.07879037</v>
      </c>
      <c r="W139" s="156"/>
      <c r="X139" s="156"/>
      <c r="Y139" s="156"/>
      <c r="Z139" s="156"/>
      <c r="AA139" s="27"/>
      <c r="AB139" s="27"/>
      <c r="AC139" s="27"/>
      <c r="AD139" s="27"/>
      <c r="AE139" s="227"/>
    </row>
    <row r="140" spans="1:31" ht="52.5" customHeight="1">
      <c r="A140" s="19">
        <v>1</v>
      </c>
      <c r="B140" s="447" t="str">
        <f>'приложение 7.1'!B141</f>
        <v> ВЛЗ в микрорайоне "Южный" (для электроснабжения многодетных семей)</v>
      </c>
      <c r="C140" s="229">
        <f>'приложение 7.1'!D141</f>
        <v>2.5892622</v>
      </c>
      <c r="D140" s="229"/>
      <c r="E140" s="229">
        <f>C140*0.5</f>
        <v>1.2946311</v>
      </c>
      <c r="F140" s="229">
        <f>C140*0.45</f>
        <v>1.16516799</v>
      </c>
      <c r="G140" s="229">
        <f>C140*0.05</f>
        <v>0.12946311</v>
      </c>
      <c r="H140" s="229">
        <f>'приложение 7.1'!E141</f>
        <v>0</v>
      </c>
      <c r="I140" s="229"/>
      <c r="J140" s="229">
        <f>H140*0.25</f>
        <v>0</v>
      </c>
      <c r="K140" s="229">
        <f>H140*0.7</f>
        <v>0</v>
      </c>
      <c r="L140" s="229">
        <f>H140*0.05</f>
        <v>0</v>
      </c>
      <c r="M140" s="229">
        <f aca="true" t="shared" si="119" ref="M140:Q141">H140-C140</f>
        <v>-2.5892622</v>
      </c>
      <c r="N140" s="229">
        <f t="shared" si="119"/>
        <v>0</v>
      </c>
      <c r="O140" s="229">
        <f t="shared" si="119"/>
        <v>-1.2946311</v>
      </c>
      <c r="P140" s="229">
        <f t="shared" si="119"/>
        <v>-1.16516799</v>
      </c>
      <c r="Q140" s="229">
        <f t="shared" si="119"/>
        <v>-0.12946311</v>
      </c>
      <c r="R140" s="229">
        <f>SUM(S140:V140)</f>
        <v>0</v>
      </c>
      <c r="S140" s="229">
        <f aca="true" t="shared" si="120" ref="S140:V141">I140</f>
        <v>0</v>
      </c>
      <c r="T140" s="229">
        <f t="shared" si="120"/>
        <v>0</v>
      </c>
      <c r="U140" s="229">
        <f t="shared" si="120"/>
        <v>0</v>
      </c>
      <c r="V140" s="229">
        <f t="shared" si="120"/>
        <v>0</v>
      </c>
      <c r="W140" s="532"/>
      <c r="X140" s="532"/>
      <c r="Y140" s="532"/>
      <c r="Z140" s="76"/>
      <c r="AA140" s="6">
        <v>2014</v>
      </c>
      <c r="AB140" s="6"/>
      <c r="AC140" s="6"/>
      <c r="AD140" s="6"/>
      <c r="AE140" s="6" t="s">
        <v>946</v>
      </c>
    </row>
    <row r="141" spans="1:31" ht="75.75" customHeight="1">
      <c r="A141" s="19">
        <v>2</v>
      </c>
      <c r="B141" s="447" t="str">
        <f>'приложение 7.1'!B142</f>
        <v> Строительство ВЛ-10 кВ от опоры №42 ВЛ-10 кВ "ТП-324-ТП-187" до проектируемой ТП для электроснабжения садовых домиков ДНТ "Полет" и СНТ "Мичуринец"</v>
      </c>
      <c r="C141" s="229">
        <f>'приложение 7.1'!D142</f>
        <v>0</v>
      </c>
      <c r="D141" s="229"/>
      <c r="E141" s="229">
        <f>C141*0.5</f>
        <v>0</v>
      </c>
      <c r="F141" s="229">
        <f>C141*0.45</f>
        <v>0</v>
      </c>
      <c r="G141" s="229">
        <f>C141*0.05</f>
        <v>0</v>
      </c>
      <c r="H141" s="229">
        <f>'приложение 7.1'!E142</f>
        <v>1.5758073999999997</v>
      </c>
      <c r="I141" s="229"/>
      <c r="J141" s="229">
        <f>H141*0.25</f>
        <v>0.39395184999999994</v>
      </c>
      <c r="K141" s="229">
        <f>H141*0.7</f>
        <v>1.1030651799999998</v>
      </c>
      <c r="L141" s="229">
        <f>H141*0.05</f>
        <v>0.07879037</v>
      </c>
      <c r="M141" s="229">
        <f t="shared" si="119"/>
        <v>1.5758073999999997</v>
      </c>
      <c r="N141" s="229">
        <f t="shared" si="119"/>
        <v>0</v>
      </c>
      <c r="O141" s="229">
        <f t="shared" si="119"/>
        <v>0.39395184999999994</v>
      </c>
      <c r="P141" s="229">
        <f t="shared" si="119"/>
        <v>1.1030651799999998</v>
      </c>
      <c r="Q141" s="229">
        <f t="shared" si="119"/>
        <v>0.07879037</v>
      </c>
      <c r="R141" s="229">
        <f>SUM(S141:V141)</f>
        <v>1.5758073999999995</v>
      </c>
      <c r="S141" s="229">
        <f t="shared" si="120"/>
        <v>0</v>
      </c>
      <c r="T141" s="229">
        <f t="shared" si="120"/>
        <v>0.39395184999999994</v>
      </c>
      <c r="U141" s="229">
        <f t="shared" si="120"/>
        <v>1.1030651799999998</v>
      </c>
      <c r="V141" s="229">
        <f t="shared" si="120"/>
        <v>0.07879037</v>
      </c>
      <c r="W141" s="532"/>
      <c r="X141" s="532"/>
      <c r="Y141" s="532"/>
      <c r="Z141" s="76"/>
      <c r="AA141" s="6">
        <v>2014</v>
      </c>
      <c r="AB141" s="6"/>
      <c r="AC141" s="6"/>
      <c r="AD141" s="6"/>
      <c r="AE141" s="6" t="s">
        <v>946</v>
      </c>
    </row>
    <row r="142" spans="1:31" ht="90" customHeight="1">
      <c r="A142" s="278" t="s">
        <v>882</v>
      </c>
      <c r="B142" s="826" t="str">
        <f>'приложение 7.1'!B143</f>
        <v>Плата за технологическое присоединение вышестоящим смежным сетевым организациям для подключения новых объектов строительства***</v>
      </c>
      <c r="C142" s="290">
        <f>C144</f>
        <v>0</v>
      </c>
      <c r="D142" s="290">
        <f aca="true" t="shared" si="121" ref="D142:V142">D144</f>
        <v>0</v>
      </c>
      <c r="E142" s="290">
        <f t="shared" si="121"/>
        <v>0</v>
      </c>
      <c r="F142" s="290">
        <f t="shared" si="121"/>
        <v>0</v>
      </c>
      <c r="G142" s="290">
        <f t="shared" si="121"/>
        <v>0</v>
      </c>
      <c r="H142" s="290">
        <f t="shared" si="121"/>
        <v>0</v>
      </c>
      <c r="I142" s="290">
        <f t="shared" si="121"/>
        <v>0</v>
      </c>
      <c r="J142" s="290">
        <f t="shared" si="121"/>
        <v>0</v>
      </c>
      <c r="K142" s="290">
        <f t="shared" si="121"/>
        <v>0</v>
      </c>
      <c r="L142" s="290">
        <f t="shared" si="121"/>
        <v>0</v>
      </c>
      <c r="M142" s="290">
        <f t="shared" si="121"/>
        <v>0</v>
      </c>
      <c r="N142" s="290">
        <f t="shared" si="121"/>
        <v>0</v>
      </c>
      <c r="O142" s="290">
        <f t="shared" si="121"/>
        <v>0</v>
      </c>
      <c r="P142" s="290">
        <f t="shared" si="121"/>
        <v>0</v>
      </c>
      <c r="Q142" s="290">
        <f t="shared" si="121"/>
        <v>0</v>
      </c>
      <c r="R142" s="290">
        <f t="shared" si="121"/>
        <v>0</v>
      </c>
      <c r="S142" s="290">
        <f t="shared" si="121"/>
        <v>0</v>
      </c>
      <c r="T142" s="290">
        <f t="shared" si="121"/>
        <v>0</v>
      </c>
      <c r="U142" s="290">
        <f t="shared" si="121"/>
        <v>0</v>
      </c>
      <c r="V142" s="290">
        <f t="shared" si="121"/>
        <v>0</v>
      </c>
      <c r="W142" s="275"/>
      <c r="X142" s="275"/>
      <c r="Y142" s="275"/>
      <c r="Z142" s="275"/>
      <c r="AA142" s="275"/>
      <c r="AB142" s="275"/>
      <c r="AC142" s="275"/>
      <c r="AD142" s="275"/>
      <c r="AE142" s="275"/>
    </row>
    <row r="143" spans="1:31" s="16" customFormat="1" ht="30.75" customHeight="1">
      <c r="A143" s="841" t="s">
        <v>908</v>
      </c>
      <c r="B143" s="867" t="str">
        <f>'приложение 7.1'!B144</f>
        <v>г.Чебоксары</v>
      </c>
      <c r="C143" s="227">
        <f aca="true" t="shared" si="122" ref="C143:V143">SUM(C144:C144)</f>
        <v>0</v>
      </c>
      <c r="D143" s="227">
        <f t="shared" si="122"/>
        <v>0</v>
      </c>
      <c r="E143" s="227">
        <f t="shared" si="122"/>
        <v>0</v>
      </c>
      <c r="F143" s="227">
        <f t="shared" si="122"/>
        <v>0</v>
      </c>
      <c r="G143" s="227">
        <f t="shared" si="122"/>
        <v>0</v>
      </c>
      <c r="H143" s="227">
        <f t="shared" si="122"/>
        <v>0</v>
      </c>
      <c r="I143" s="227">
        <f t="shared" si="122"/>
        <v>0</v>
      </c>
      <c r="J143" s="227">
        <f t="shared" si="122"/>
        <v>0</v>
      </c>
      <c r="K143" s="227">
        <f t="shared" si="122"/>
        <v>0</v>
      </c>
      <c r="L143" s="227">
        <f t="shared" si="122"/>
        <v>0</v>
      </c>
      <c r="M143" s="227">
        <f t="shared" si="122"/>
        <v>0</v>
      </c>
      <c r="N143" s="227">
        <f t="shared" si="122"/>
        <v>0</v>
      </c>
      <c r="O143" s="227">
        <f t="shared" si="122"/>
        <v>0</v>
      </c>
      <c r="P143" s="227">
        <f t="shared" si="122"/>
        <v>0</v>
      </c>
      <c r="Q143" s="227">
        <f t="shared" si="122"/>
        <v>0</v>
      </c>
      <c r="R143" s="227">
        <f t="shared" si="122"/>
        <v>0</v>
      </c>
      <c r="S143" s="227">
        <f t="shared" si="122"/>
        <v>0</v>
      </c>
      <c r="T143" s="227">
        <f t="shared" si="122"/>
        <v>0</v>
      </c>
      <c r="U143" s="227">
        <f t="shared" si="122"/>
        <v>0</v>
      </c>
      <c r="V143" s="227">
        <f t="shared" si="122"/>
        <v>0</v>
      </c>
      <c r="W143" s="156"/>
      <c r="X143" s="156"/>
      <c r="Y143" s="156"/>
      <c r="Z143" s="156"/>
      <c r="AA143" s="27"/>
      <c r="AB143" s="27"/>
      <c r="AC143" s="27"/>
      <c r="AD143" s="27"/>
      <c r="AE143" s="227"/>
    </row>
    <row r="144" spans="1:31" ht="81.75" customHeight="1">
      <c r="A144" s="19">
        <v>1</v>
      </c>
      <c r="B144" s="447" t="str">
        <f>'приложение 7.1'!B145</f>
        <v>Плата за технологическое присоединение вышестоящим смежным сетевым организациям для подключения новых объектов строительства***</v>
      </c>
      <c r="C144" s="229">
        <f>'приложение 7.1'!D145</f>
        <v>0</v>
      </c>
      <c r="D144" s="229"/>
      <c r="E144" s="229">
        <f>C144*0.5</f>
        <v>0</v>
      </c>
      <c r="F144" s="229">
        <f>C144*0.45</f>
        <v>0</v>
      </c>
      <c r="G144" s="229">
        <f>C144*0.05</f>
        <v>0</v>
      </c>
      <c r="H144" s="229">
        <f>'приложение 7.1'!E145</f>
        <v>0</v>
      </c>
      <c r="I144" s="229"/>
      <c r="J144" s="229">
        <f>H144*0.25</f>
        <v>0</v>
      </c>
      <c r="K144" s="229">
        <f>H144*0.7</f>
        <v>0</v>
      </c>
      <c r="L144" s="229">
        <f>H144*0.05</f>
        <v>0</v>
      </c>
      <c r="M144" s="229">
        <f>H144-C144</f>
        <v>0</v>
      </c>
      <c r="N144" s="229">
        <f>I144-D144</f>
        <v>0</v>
      </c>
      <c r="O144" s="229">
        <f>J144-E144</f>
        <v>0</v>
      </c>
      <c r="P144" s="229">
        <f>K144-F144</f>
        <v>0</v>
      </c>
      <c r="Q144" s="229">
        <f>L144-G144</f>
        <v>0</v>
      </c>
      <c r="R144" s="229">
        <f>SUM(S144:V144)</f>
        <v>0</v>
      </c>
      <c r="S144" s="229">
        <f>I144</f>
        <v>0</v>
      </c>
      <c r="T144" s="229">
        <f>J144</f>
        <v>0</v>
      </c>
      <c r="U144" s="229">
        <f>K144</f>
        <v>0</v>
      </c>
      <c r="V144" s="229">
        <f>L144</f>
        <v>0</v>
      </c>
      <c r="W144" s="532"/>
      <c r="X144" s="532"/>
      <c r="Y144" s="532"/>
      <c r="Z144" s="76"/>
      <c r="AA144" s="6"/>
      <c r="AB144" s="6"/>
      <c r="AC144" s="6"/>
      <c r="AD144" s="6"/>
      <c r="AE144" s="76"/>
    </row>
    <row r="145" spans="1:31" ht="31.5">
      <c r="A145" s="279" t="s">
        <v>80</v>
      </c>
      <c r="B145" s="214" t="s">
        <v>564</v>
      </c>
      <c r="C145" s="289">
        <f>SUM(C146:C146)</f>
        <v>13.499884400000001</v>
      </c>
      <c r="D145" s="289">
        <v>0</v>
      </c>
      <c r="E145" s="289">
        <f aca="true" t="shared" si="123" ref="E145:L145">SUM(E146:E146)</f>
        <v>0</v>
      </c>
      <c r="F145" s="289">
        <f t="shared" si="123"/>
        <v>13.499884400000001</v>
      </c>
      <c r="G145" s="289">
        <f t="shared" si="123"/>
        <v>0</v>
      </c>
      <c r="H145" s="289">
        <f t="shared" si="123"/>
        <v>13.720190399999998</v>
      </c>
      <c r="I145" s="289">
        <f t="shared" si="123"/>
        <v>0</v>
      </c>
      <c r="J145" s="289">
        <f t="shared" si="123"/>
        <v>0</v>
      </c>
      <c r="K145" s="289">
        <f t="shared" si="123"/>
        <v>13.720190399999998</v>
      </c>
      <c r="L145" s="289">
        <f t="shared" si="123"/>
        <v>0</v>
      </c>
      <c r="M145" s="289">
        <f aca="true" t="shared" si="124" ref="M145:Q146">H145-C145</f>
        <v>0.22030599999999723</v>
      </c>
      <c r="N145" s="289">
        <f t="shared" si="124"/>
        <v>0</v>
      </c>
      <c r="O145" s="289">
        <f t="shared" si="124"/>
        <v>0</v>
      </c>
      <c r="P145" s="289">
        <f t="shared" si="124"/>
        <v>0.22030599999999723</v>
      </c>
      <c r="Q145" s="289">
        <f t="shared" si="124"/>
        <v>0</v>
      </c>
      <c r="R145" s="289">
        <f>SUM(R146:R146)</f>
        <v>13.720190399999998</v>
      </c>
      <c r="S145" s="289">
        <f>SUM(S146:S146)</f>
        <v>0</v>
      </c>
      <c r="T145" s="289">
        <f>SUM(T146:T146)</f>
        <v>0</v>
      </c>
      <c r="U145" s="289">
        <f>SUM(U146:U146)</f>
        <v>13.720190399999998</v>
      </c>
      <c r="V145" s="289">
        <f>SUM(V146:V146)</f>
        <v>0</v>
      </c>
      <c r="W145" s="214"/>
      <c r="X145" s="214"/>
      <c r="Y145" s="214"/>
      <c r="Z145" s="214"/>
      <c r="AA145" s="214"/>
      <c r="AB145" s="214"/>
      <c r="AC145" s="214"/>
      <c r="AD145" s="214"/>
      <c r="AE145" s="214"/>
    </row>
    <row r="146" spans="1:31" ht="31.5">
      <c r="A146" s="19">
        <v>1</v>
      </c>
      <c r="B146" s="209" t="s">
        <v>704</v>
      </c>
      <c r="C146" s="229">
        <f>'приложение 7.1'!D147</f>
        <v>13.499884400000001</v>
      </c>
      <c r="D146" s="229"/>
      <c r="E146" s="229"/>
      <c r="F146" s="229">
        <f>C146</f>
        <v>13.499884400000001</v>
      </c>
      <c r="G146" s="229"/>
      <c r="H146" s="229">
        <f>'приложение 7.1'!E147</f>
        <v>13.720190399999998</v>
      </c>
      <c r="I146" s="229"/>
      <c r="J146" s="229"/>
      <c r="K146" s="229">
        <f>H146</f>
        <v>13.720190399999998</v>
      </c>
      <c r="L146" s="242"/>
      <c r="M146" s="229">
        <f t="shared" si="124"/>
        <v>0.22030599999999723</v>
      </c>
      <c r="N146" s="229">
        <f t="shared" si="124"/>
        <v>0</v>
      </c>
      <c r="O146" s="229">
        <f t="shared" si="124"/>
        <v>0</v>
      </c>
      <c r="P146" s="229">
        <f t="shared" si="124"/>
        <v>0.22030599999999723</v>
      </c>
      <c r="Q146" s="229">
        <f t="shared" si="124"/>
        <v>0</v>
      </c>
      <c r="R146" s="229">
        <f>SUM(S146:V146)</f>
        <v>13.720190399999998</v>
      </c>
      <c r="S146" s="229">
        <f>I146</f>
        <v>0</v>
      </c>
      <c r="T146" s="229">
        <f>J146</f>
        <v>0</v>
      </c>
      <c r="U146" s="229">
        <f>K146</f>
        <v>13.720190399999998</v>
      </c>
      <c r="V146" s="229">
        <f>L146</f>
        <v>0</v>
      </c>
      <c r="W146" s="148"/>
      <c r="X146" s="148"/>
      <c r="Y146" s="148"/>
      <c r="Z146" s="148"/>
      <c r="AA146" s="320"/>
      <c r="AB146" s="320"/>
      <c r="AC146" s="320"/>
      <c r="AD146" s="320"/>
      <c r="AE146" s="320"/>
    </row>
    <row r="147" spans="1:31" ht="15.75">
      <c r="A147" s="71"/>
      <c r="B147" s="273"/>
      <c r="C147" s="659"/>
      <c r="D147" s="72"/>
      <c r="E147" s="660"/>
      <c r="F147" s="660"/>
      <c r="G147" s="660"/>
      <c r="H147" s="659"/>
      <c r="I147" s="13"/>
      <c r="J147" s="661"/>
      <c r="K147" s="661"/>
      <c r="L147" s="13"/>
      <c r="M147" s="662"/>
      <c r="N147" s="662"/>
      <c r="O147" s="662"/>
      <c r="P147" s="662"/>
      <c r="Q147" s="662"/>
      <c r="R147" s="659"/>
      <c r="S147" s="13"/>
      <c r="T147" s="661"/>
      <c r="U147" s="661"/>
      <c r="V147" s="13"/>
      <c r="W147" s="13"/>
      <c r="X147" s="13"/>
      <c r="Y147" s="13"/>
      <c r="Z147" s="13"/>
      <c r="AA147" s="579"/>
      <c r="AB147" s="579"/>
      <c r="AC147" s="579"/>
      <c r="AD147" s="579"/>
      <c r="AE147" s="579"/>
    </row>
    <row r="148" spans="1:31" ht="15.75">
      <c r="A148" s="71"/>
      <c r="B148" s="273"/>
      <c r="C148" s="659"/>
      <c r="D148" s="72"/>
      <c r="E148" s="660"/>
      <c r="F148" s="660"/>
      <c r="G148" s="660"/>
      <c r="H148" s="659"/>
      <c r="I148" s="13"/>
      <c r="J148" s="661"/>
      <c r="K148" s="661"/>
      <c r="L148" s="13"/>
      <c r="M148" s="662"/>
      <c r="N148" s="662"/>
      <c r="O148" s="662"/>
      <c r="P148" s="662"/>
      <c r="Q148" s="662"/>
      <c r="R148" s="659"/>
      <c r="S148" s="13"/>
      <c r="T148" s="661"/>
      <c r="U148" s="661"/>
      <c r="V148" s="13"/>
      <c r="W148" s="13"/>
      <c r="X148" s="13"/>
      <c r="Y148" s="13"/>
      <c r="Z148" s="13"/>
      <c r="AA148" s="579"/>
      <c r="AB148" s="579"/>
      <c r="AC148" s="579"/>
      <c r="AD148" s="579"/>
      <c r="AE148" s="579"/>
    </row>
    <row r="149" spans="1:31" ht="15.75">
      <c r="A149" s="71"/>
      <c r="B149" s="273"/>
      <c r="C149" s="659"/>
      <c r="D149" s="72"/>
      <c r="E149" s="660"/>
      <c r="F149" s="660"/>
      <c r="G149" s="660"/>
      <c r="H149" s="659"/>
      <c r="I149" s="13"/>
      <c r="J149" s="661"/>
      <c r="K149" s="661"/>
      <c r="L149" s="13"/>
      <c r="M149" s="662"/>
      <c r="N149" s="662"/>
      <c r="O149" s="662"/>
      <c r="P149" s="662"/>
      <c r="Q149" s="662"/>
      <c r="R149" s="659"/>
      <c r="S149" s="13"/>
      <c r="T149" s="661"/>
      <c r="U149" s="661"/>
      <c r="V149" s="13"/>
      <c r="W149" s="13"/>
      <c r="X149" s="13"/>
      <c r="Y149" s="13"/>
      <c r="Z149" s="13"/>
      <c r="AA149" s="579"/>
      <c r="AB149" s="579"/>
      <c r="AC149" s="579"/>
      <c r="AD149" s="579"/>
      <c r="AE149" s="579"/>
    </row>
    <row r="150" spans="1:31" ht="15.75">
      <c r="A150" s="71"/>
      <c r="B150" s="273"/>
      <c r="C150" s="659"/>
      <c r="D150" s="72"/>
      <c r="E150" s="660"/>
      <c r="F150" s="660"/>
      <c r="G150" s="660"/>
      <c r="H150" s="659"/>
      <c r="I150" s="13"/>
      <c r="J150" s="661"/>
      <c r="K150" s="661"/>
      <c r="L150" s="13"/>
      <c r="M150" s="662"/>
      <c r="N150" s="662"/>
      <c r="O150" s="662"/>
      <c r="P150" s="662"/>
      <c r="Q150" s="662"/>
      <c r="R150" s="659"/>
      <c r="S150" s="13"/>
      <c r="T150" s="661"/>
      <c r="U150" s="661"/>
      <c r="V150" s="13"/>
      <c r="W150" s="13"/>
      <c r="X150" s="13"/>
      <c r="Y150" s="13"/>
      <c r="Z150" s="13"/>
      <c r="AA150" s="579"/>
      <c r="AB150" s="579"/>
      <c r="AC150" s="579"/>
      <c r="AD150" s="579"/>
      <c r="AE150" s="579"/>
    </row>
    <row r="151" spans="1:31" ht="15.75">
      <c r="A151" s="71"/>
      <c r="B151" s="273"/>
      <c r="C151" s="659"/>
      <c r="D151" s="72"/>
      <c r="E151" s="660"/>
      <c r="F151" s="660"/>
      <c r="G151" s="660"/>
      <c r="H151" s="659"/>
      <c r="I151" s="13"/>
      <c r="J151" s="661"/>
      <c r="K151" s="661"/>
      <c r="L151" s="13"/>
      <c r="M151" s="662"/>
      <c r="N151" s="662"/>
      <c r="O151" s="662"/>
      <c r="P151" s="662"/>
      <c r="Q151" s="662"/>
      <c r="R151" s="659"/>
      <c r="S151" s="13"/>
      <c r="T151" s="661"/>
      <c r="U151" s="661"/>
      <c r="V151" s="13"/>
      <c r="W151" s="13"/>
      <c r="X151" s="13"/>
      <c r="Y151" s="13"/>
      <c r="Z151" s="13"/>
      <c r="AA151" s="579"/>
      <c r="AB151" s="579"/>
      <c r="AC151" s="579"/>
      <c r="AD151" s="579"/>
      <c r="AE151" s="579"/>
    </row>
    <row r="152" spans="1:7" ht="15.75">
      <c r="A152" s="28"/>
      <c r="B152" s="13"/>
      <c r="C152" s="13"/>
      <c r="D152" s="13"/>
      <c r="E152" s="35"/>
      <c r="F152" s="35"/>
      <c r="G152" s="35"/>
    </row>
    <row r="153" spans="1:21" ht="15.75">
      <c r="A153" s="21"/>
      <c r="B153" s="901" t="s">
        <v>491</v>
      </c>
      <c r="C153" s="901"/>
      <c r="D153" s="901"/>
      <c r="E153" s="901"/>
      <c r="F153" s="901"/>
      <c r="G153" s="901"/>
      <c r="H153" s="901"/>
      <c r="I153" s="901"/>
      <c r="J153" s="901"/>
      <c r="K153" s="901"/>
      <c r="L153" s="901"/>
      <c r="M153" s="901"/>
      <c r="N153" s="901"/>
      <c r="O153" s="901"/>
      <c r="P153" s="901"/>
      <c r="Q153" s="901"/>
      <c r="R153" s="901"/>
      <c r="S153" s="901"/>
      <c r="T153" s="901"/>
      <c r="U153" s="901"/>
    </row>
    <row r="154" spans="1:21" ht="15.75">
      <c r="A154" s="21"/>
      <c r="B154" s="1" t="s">
        <v>492</v>
      </c>
      <c r="E154" s="1"/>
      <c r="F154" s="1"/>
      <c r="G154" s="1"/>
      <c r="S154" s="18"/>
      <c r="T154" s="18"/>
      <c r="U154" s="18"/>
    </row>
    <row r="155" spans="2:7" ht="15.75">
      <c r="B155" s="1" t="s">
        <v>947</v>
      </c>
      <c r="C155" s="135"/>
      <c r="D155" s="135"/>
      <c r="E155" s="135"/>
      <c r="F155" s="135"/>
      <c r="G155" s="135"/>
    </row>
    <row r="156" spans="1:11" ht="15.75" customHeight="1">
      <c r="A156" s="21"/>
      <c r="B156" s="1031"/>
      <c r="C156" s="1031"/>
      <c r="D156" s="1031"/>
      <c r="E156" s="1031"/>
      <c r="F156" s="1031"/>
      <c r="G156" s="1031"/>
      <c r="H156" s="1031"/>
      <c r="I156" s="1031"/>
      <c r="J156" s="1031"/>
      <c r="K156" s="1031"/>
    </row>
    <row r="157" spans="1:7" ht="15.75" customHeight="1">
      <c r="A157" s="21"/>
      <c r="B157" s="901"/>
      <c r="C157" s="901"/>
      <c r="D157" s="901"/>
      <c r="E157" s="901"/>
      <c r="F157" s="901"/>
      <c r="G157" s="901"/>
    </row>
    <row r="158" ht="15.75">
      <c r="A158" s="21"/>
    </row>
    <row r="159" ht="15.75">
      <c r="A159" s="21"/>
    </row>
    <row r="160" spans="5:7" ht="33.75" customHeight="1">
      <c r="E160" s="1"/>
      <c r="F160" s="1"/>
      <c r="G160" s="1"/>
    </row>
    <row r="161" ht="15.75">
      <c r="A161" s="18"/>
    </row>
  </sheetData>
  <sheetProtection/>
  <mergeCells count="15">
    <mergeCell ref="B157:G157"/>
    <mergeCell ref="B153:U153"/>
    <mergeCell ref="B156:K156"/>
    <mergeCell ref="B15:B17"/>
    <mergeCell ref="C15:G16"/>
    <mergeCell ref="H15:L16"/>
    <mergeCell ref="A6:AE6"/>
    <mergeCell ref="W15:AE15"/>
    <mergeCell ref="W16:Z16"/>
    <mergeCell ref="AA16:AE16"/>
    <mergeCell ref="M15:Q16"/>
    <mergeCell ref="R15:V16"/>
    <mergeCell ref="A15:A17"/>
    <mergeCell ref="AB11:AE11"/>
    <mergeCell ref="A7:AE7"/>
  </mergeCells>
  <printOptions/>
  <pageMargins left="0.35433070866141736" right="0" top="0.5511811023622047" bottom="0.31496062992125984" header="0" footer="0"/>
  <pageSetup fitToHeight="6" fitToWidth="1" horizontalDpi="600" verticalDpi="6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T73"/>
  <sheetViews>
    <sheetView zoomScale="85" zoomScaleNormal="85" zoomScalePageLayoutView="0" workbookViewId="0" topLeftCell="A1">
      <selection activeCell="O22" sqref="O22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12.50390625" style="1" bestFit="1" customWidth="1"/>
    <col min="4" max="4" width="11.375" style="1" bestFit="1" customWidth="1"/>
    <col min="5" max="5" width="11.375" style="1" hidden="1" customWidth="1"/>
    <col min="6" max="6" width="9.125" style="1" customWidth="1"/>
    <col min="7" max="7" width="10.25390625" style="1" customWidth="1"/>
    <col min="8" max="8" width="11.375" style="1" hidden="1" customWidth="1"/>
    <col min="9" max="10" width="9.50390625" style="1" customWidth="1"/>
    <col min="11" max="11" width="9.125" style="1" hidden="1" customWidth="1"/>
    <col min="12" max="12" width="8.125" style="1" bestFit="1" customWidth="1"/>
    <col min="13" max="13" width="9.75390625" style="1" customWidth="1"/>
    <col min="14" max="14" width="9.25390625" style="1" hidden="1" customWidth="1"/>
    <col min="15" max="15" width="7.125" style="1" bestFit="1" customWidth="1"/>
    <col min="16" max="16" width="9.50390625" style="1" customWidth="1"/>
    <col min="17" max="17" width="39.625" style="1" customWidth="1"/>
    <col min="18" max="18" width="9.00390625" style="1" customWidth="1"/>
    <col min="19" max="19" width="9.25390625" style="1" customWidth="1"/>
    <col min="20" max="16384" width="9.00390625" style="1" customWidth="1"/>
  </cols>
  <sheetData>
    <row r="2" ht="15.75">
      <c r="Q2" s="4" t="s">
        <v>302</v>
      </c>
    </row>
    <row r="3" ht="15.75">
      <c r="Q3" s="4" t="s">
        <v>292</v>
      </c>
    </row>
    <row r="4" ht="15.75">
      <c r="Q4" s="4" t="s">
        <v>301</v>
      </c>
    </row>
    <row r="5" ht="15.75">
      <c r="Q5" s="4"/>
    </row>
    <row r="6" spans="1:19" ht="59.25" customHeight="1">
      <c r="A6" s="976" t="s">
        <v>1028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96"/>
      <c r="S6" s="996"/>
    </row>
    <row r="7" spans="1:19" ht="15.7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20"/>
      <c r="S7" s="20"/>
    </row>
    <row r="8" ht="15.75">
      <c r="Q8" s="4" t="s">
        <v>293</v>
      </c>
    </row>
    <row r="9" ht="15.75">
      <c r="Q9" s="4" t="s">
        <v>995</v>
      </c>
    </row>
    <row r="10" ht="15.75">
      <c r="Q10" s="4" t="s">
        <v>569</v>
      </c>
    </row>
    <row r="11" ht="15.75">
      <c r="Q11" s="270" t="s">
        <v>997</v>
      </c>
    </row>
    <row r="12" ht="15.75">
      <c r="Q12" s="4" t="s">
        <v>1025</v>
      </c>
    </row>
    <row r="13" ht="15.75">
      <c r="Q13" s="4" t="s">
        <v>294</v>
      </c>
    </row>
    <row r="14" spans="1:19" ht="16.5" thickBot="1">
      <c r="A14" s="16"/>
      <c r="Q14" s="4"/>
      <c r="R14" s="20"/>
      <c r="S14" s="20"/>
    </row>
    <row r="15" spans="1:17" ht="32.25" customHeight="1">
      <c r="A15" s="997" t="s">
        <v>624</v>
      </c>
      <c r="B15" s="998" t="s">
        <v>625</v>
      </c>
      <c r="C15" s="998" t="s">
        <v>985</v>
      </c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9" t="s">
        <v>626</v>
      </c>
    </row>
    <row r="16" spans="1:17" ht="15.75">
      <c r="A16" s="939"/>
      <c r="B16" s="926"/>
      <c r="C16" s="1033" t="s">
        <v>627</v>
      </c>
      <c r="D16" s="1034"/>
      <c r="E16" s="925"/>
      <c r="F16" s="1033" t="s">
        <v>628</v>
      </c>
      <c r="G16" s="1034"/>
      <c r="H16" s="925"/>
      <c r="I16" s="1033" t="s">
        <v>629</v>
      </c>
      <c r="J16" s="1034"/>
      <c r="K16" s="925"/>
      <c r="L16" s="926" t="s">
        <v>630</v>
      </c>
      <c r="M16" s="926"/>
      <c r="N16" s="926"/>
      <c r="O16" s="926" t="s">
        <v>631</v>
      </c>
      <c r="P16" s="926"/>
      <c r="Q16" s="927"/>
    </row>
    <row r="17" spans="1:17" ht="63" customHeight="1" thickBot="1">
      <c r="A17" s="938"/>
      <c r="B17" s="935"/>
      <c r="C17" s="79" t="s">
        <v>135</v>
      </c>
      <c r="D17" s="79" t="s">
        <v>984</v>
      </c>
      <c r="E17" s="79" t="s">
        <v>981</v>
      </c>
      <c r="F17" s="79" t="s">
        <v>632</v>
      </c>
      <c r="G17" s="79" t="s">
        <v>982</v>
      </c>
      <c r="H17" s="79" t="s">
        <v>981</v>
      </c>
      <c r="I17" s="79" t="s">
        <v>632</v>
      </c>
      <c r="J17" s="79" t="s">
        <v>982</v>
      </c>
      <c r="K17" s="79" t="s">
        <v>981</v>
      </c>
      <c r="L17" s="79" t="s">
        <v>632</v>
      </c>
      <c r="M17" s="79" t="s">
        <v>982</v>
      </c>
      <c r="N17" s="79" t="s">
        <v>981</v>
      </c>
      <c r="O17" s="79" t="s">
        <v>632</v>
      </c>
      <c r="P17" s="79" t="s">
        <v>633</v>
      </c>
      <c r="Q17" s="936"/>
    </row>
    <row r="18" spans="1:19" ht="15.75">
      <c r="A18" s="69">
        <v>1</v>
      </c>
      <c r="B18" s="166" t="s">
        <v>635</v>
      </c>
      <c r="C18" s="297">
        <f>C19+C26</f>
        <v>119.6212846</v>
      </c>
      <c r="D18" s="297">
        <f>G18+J18+M18+P18</f>
        <v>124.29676983159999</v>
      </c>
      <c r="E18" s="297">
        <f>H18+K18+N18</f>
        <v>0</v>
      </c>
      <c r="F18" s="297">
        <f>F19+F26</f>
        <v>0.234</v>
      </c>
      <c r="G18" s="297">
        <f>G19+G26</f>
        <v>13.110302231599999</v>
      </c>
      <c r="H18" s="297">
        <f>H19+H26</f>
        <v>0</v>
      </c>
      <c r="I18" s="297">
        <f>I19+I26</f>
        <v>46.616</v>
      </c>
      <c r="J18" s="297">
        <f>'приложение 7.1'!K19</f>
        <v>5.374215599999999</v>
      </c>
      <c r="K18" s="297">
        <f>'приложение 7.1'!L19</f>
        <v>0</v>
      </c>
      <c r="L18" s="297">
        <f>L19+L26</f>
        <v>51.817</v>
      </c>
      <c r="M18" s="297">
        <f>M19+M26</f>
        <v>27.015049799999996</v>
      </c>
      <c r="N18" s="297">
        <f>'приложение 7.1'!O19</f>
        <v>0</v>
      </c>
      <c r="O18" s="297">
        <f>O19+O26</f>
        <v>20.954</v>
      </c>
      <c r="P18" s="297">
        <f>'приложение 7.1'!Q19</f>
        <v>78.79720219999999</v>
      </c>
      <c r="Q18" s="271"/>
      <c r="R18" s="8"/>
      <c r="S18" s="8"/>
    </row>
    <row r="19" spans="1:17" ht="31.5">
      <c r="A19" s="295" t="s">
        <v>612</v>
      </c>
      <c r="B19" s="156" t="s">
        <v>636</v>
      </c>
      <c r="C19" s="227">
        <f>C20</f>
        <v>0</v>
      </c>
      <c r="D19" s="227">
        <f>D20</f>
        <v>0</v>
      </c>
      <c r="E19" s="227">
        <f>E20</f>
        <v>0</v>
      </c>
      <c r="F19" s="227">
        <f aca="true" t="shared" si="0" ref="F19:P19">F20</f>
        <v>0</v>
      </c>
      <c r="G19" s="227">
        <f>G20</f>
        <v>0</v>
      </c>
      <c r="H19" s="227">
        <f>H20</f>
        <v>0</v>
      </c>
      <c r="I19" s="227">
        <f t="shared" si="0"/>
        <v>0</v>
      </c>
      <c r="J19" s="227">
        <f t="shared" si="0"/>
        <v>0</v>
      </c>
      <c r="K19" s="227">
        <f t="shared" si="0"/>
        <v>0</v>
      </c>
      <c r="L19" s="227">
        <f t="shared" si="0"/>
        <v>0</v>
      </c>
      <c r="M19" s="227">
        <f t="shared" si="0"/>
        <v>0</v>
      </c>
      <c r="N19" s="227">
        <f t="shared" si="0"/>
        <v>0</v>
      </c>
      <c r="O19" s="227">
        <f t="shared" si="0"/>
        <v>0</v>
      </c>
      <c r="P19" s="227">
        <f t="shared" si="0"/>
        <v>0</v>
      </c>
      <c r="Q19" s="11"/>
    </row>
    <row r="20" spans="1:17" ht="31.5">
      <c r="A20" s="154" t="s">
        <v>637</v>
      </c>
      <c r="B20" s="5" t="s">
        <v>657</v>
      </c>
      <c r="C20" s="229">
        <v>0</v>
      </c>
      <c r="D20" s="229">
        <f>G20+J20+N20+P20</f>
        <v>0</v>
      </c>
      <c r="E20" s="229">
        <f>H20+L20+O20+Q20</f>
        <v>0</v>
      </c>
      <c r="F20" s="229">
        <f>C20/4</f>
        <v>0</v>
      </c>
      <c r="G20" s="229">
        <v>0</v>
      </c>
      <c r="H20" s="229">
        <v>0</v>
      </c>
      <c r="I20" s="229">
        <f>C20/4</f>
        <v>0</v>
      </c>
      <c r="J20" s="229">
        <v>0</v>
      </c>
      <c r="K20" s="229">
        <v>0</v>
      </c>
      <c r="L20" s="229">
        <f>C20/4</f>
        <v>0</v>
      </c>
      <c r="M20" s="229">
        <f>D20/4</f>
        <v>0</v>
      </c>
      <c r="N20" s="229">
        <v>0</v>
      </c>
      <c r="O20" s="229">
        <f>C20/4</f>
        <v>0</v>
      </c>
      <c r="P20" s="229">
        <v>0</v>
      </c>
      <c r="Q20" s="11"/>
    </row>
    <row r="21" spans="1:17" ht="15.75">
      <c r="A21" s="154" t="s">
        <v>650</v>
      </c>
      <c r="B21" s="5" t="s">
        <v>658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11"/>
    </row>
    <row r="22" spans="1:17" ht="47.25">
      <c r="A22" s="154" t="s">
        <v>654</v>
      </c>
      <c r="B22" s="5" t="s">
        <v>127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9"/>
      <c r="P22" s="229"/>
      <c r="Q22" s="11"/>
    </row>
    <row r="23" spans="1:20" ht="31.5">
      <c r="A23" s="154" t="s">
        <v>655</v>
      </c>
      <c r="B23" s="5" t="s">
        <v>128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9"/>
      <c r="P23" s="229"/>
      <c r="Q23" s="11"/>
      <c r="T23" s="679"/>
    </row>
    <row r="24" spans="1:17" ht="31.5">
      <c r="A24" s="154" t="s">
        <v>656</v>
      </c>
      <c r="B24" s="5" t="s">
        <v>129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11"/>
    </row>
    <row r="25" spans="1:17" ht="15.75">
      <c r="A25" s="154" t="s">
        <v>326</v>
      </c>
      <c r="B25" s="5" t="s">
        <v>311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11"/>
    </row>
    <row r="26" spans="1:17" ht="15.75">
      <c r="A26" s="295" t="s">
        <v>613</v>
      </c>
      <c r="B26" s="156" t="s">
        <v>638</v>
      </c>
      <c r="C26" s="227">
        <f>SUM(C27)</f>
        <v>119.6212846</v>
      </c>
      <c r="D26" s="227">
        <f>G26+J26+M26+P26</f>
        <v>124.29676983159999</v>
      </c>
      <c r="E26" s="227">
        <f>H26+K26+N26</f>
        <v>0</v>
      </c>
      <c r="F26" s="227">
        <f aca="true" t="shared" si="1" ref="F26:P26">SUM(F27)</f>
        <v>0.234</v>
      </c>
      <c r="G26" s="227">
        <f>G27</f>
        <v>13.110302231599999</v>
      </c>
      <c r="H26" s="227">
        <f>H27</f>
        <v>0</v>
      </c>
      <c r="I26" s="227">
        <f t="shared" si="1"/>
        <v>46.616</v>
      </c>
      <c r="J26" s="227">
        <f t="shared" si="1"/>
        <v>5.374215599999999</v>
      </c>
      <c r="K26" s="227">
        <f t="shared" si="1"/>
        <v>0</v>
      </c>
      <c r="L26" s="227">
        <f t="shared" si="1"/>
        <v>51.817</v>
      </c>
      <c r="M26" s="227">
        <f t="shared" si="1"/>
        <v>27.015049799999996</v>
      </c>
      <c r="N26" s="227">
        <f t="shared" si="1"/>
        <v>0</v>
      </c>
      <c r="O26" s="227">
        <f t="shared" si="1"/>
        <v>20.954</v>
      </c>
      <c r="P26" s="227">
        <f t="shared" si="1"/>
        <v>78.79720219999999</v>
      </c>
      <c r="Q26" s="11"/>
    </row>
    <row r="27" spans="1:17" ht="15.75">
      <c r="A27" s="154" t="s">
        <v>312</v>
      </c>
      <c r="B27" s="5" t="s">
        <v>315</v>
      </c>
      <c r="C27" s="229">
        <f>'приложение 7.1'!D19</f>
        <v>119.6212846</v>
      </c>
      <c r="D27" s="229">
        <f>G27+J27+M27+P27</f>
        <v>124.29676983159999</v>
      </c>
      <c r="E27" s="229">
        <f>H27+K27+N27</f>
        <v>0</v>
      </c>
      <c r="F27" s="229">
        <v>0.234</v>
      </c>
      <c r="G27" s="229">
        <f>'приложение 7.1'!H19</f>
        <v>13.110302231599999</v>
      </c>
      <c r="H27" s="229">
        <f>'приложение 7.1'!I19</f>
        <v>0</v>
      </c>
      <c r="I27" s="229">
        <v>46.616</v>
      </c>
      <c r="J27" s="229">
        <f>'приложение 7.1'!K19</f>
        <v>5.374215599999999</v>
      </c>
      <c r="K27" s="229">
        <f>'приложение 7.1'!L19</f>
        <v>0</v>
      </c>
      <c r="L27" s="229">
        <v>51.817</v>
      </c>
      <c r="M27" s="229">
        <f>'приложение 7.1'!N19</f>
        <v>27.015049799999996</v>
      </c>
      <c r="N27" s="229">
        <f>'приложение 7.1'!O19</f>
        <v>0</v>
      </c>
      <c r="O27" s="229">
        <v>20.954</v>
      </c>
      <c r="P27" s="229">
        <f>P18</f>
        <v>78.79720219999999</v>
      </c>
      <c r="Q27" s="11"/>
    </row>
    <row r="28" spans="1:17" ht="15.75">
      <c r="A28" s="154" t="s">
        <v>313</v>
      </c>
      <c r="B28" s="5" t="s">
        <v>316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1"/>
    </row>
    <row r="29" spans="1:17" ht="31.5">
      <c r="A29" s="154" t="s">
        <v>314</v>
      </c>
      <c r="B29" s="5" t="s">
        <v>317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1"/>
    </row>
    <row r="30" spans="1:17" ht="15.75">
      <c r="A30" s="154" t="s">
        <v>623</v>
      </c>
      <c r="B30" s="5" t="s">
        <v>639</v>
      </c>
      <c r="C30" s="229">
        <f>C18/1.18*0.18</f>
        <v>18.2473146</v>
      </c>
      <c r="D30" s="229">
        <f>G30+J30+M30+P30</f>
        <v>18.960524211599996</v>
      </c>
      <c r="E30" s="229">
        <f>H30+K30+N30</f>
        <v>0</v>
      </c>
      <c r="F30" s="229">
        <f aca="true" t="shared" si="2" ref="F30:P30">F18/1.18*0.18</f>
        <v>0.03569491525423729</v>
      </c>
      <c r="G30" s="229">
        <f t="shared" si="2"/>
        <v>1.9998766115999997</v>
      </c>
      <c r="H30" s="229">
        <f t="shared" si="2"/>
        <v>0</v>
      </c>
      <c r="I30" s="229">
        <f t="shared" si="2"/>
        <v>7.110915254237288</v>
      </c>
      <c r="J30" s="229">
        <f t="shared" si="2"/>
        <v>0.8197955999999998</v>
      </c>
      <c r="K30" s="229">
        <f t="shared" si="2"/>
        <v>0</v>
      </c>
      <c r="L30" s="229">
        <f t="shared" si="2"/>
        <v>7.90428813559322</v>
      </c>
      <c r="M30" s="229">
        <f t="shared" si="2"/>
        <v>4.1209397999999995</v>
      </c>
      <c r="N30" s="229">
        <f t="shared" si="2"/>
        <v>0</v>
      </c>
      <c r="O30" s="229">
        <f t="shared" si="2"/>
        <v>3.1963728813559324</v>
      </c>
      <c r="P30" s="229">
        <f t="shared" si="2"/>
        <v>12.019912199999998</v>
      </c>
      <c r="Q30" s="11"/>
    </row>
    <row r="31" spans="1:17" ht="15.75">
      <c r="A31" s="154" t="s">
        <v>640</v>
      </c>
      <c r="B31" s="5" t="s">
        <v>641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1"/>
    </row>
    <row r="32" spans="1:17" ht="15.75">
      <c r="A32" s="154" t="s">
        <v>642</v>
      </c>
      <c r="B32" s="5" t="s">
        <v>130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1"/>
    </row>
    <row r="33" spans="1:17" ht="32.25" thickBot="1">
      <c r="A33" s="159" t="s">
        <v>210</v>
      </c>
      <c r="B33" s="160" t="s">
        <v>322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</row>
    <row r="34" spans="1:17" ht="15.75">
      <c r="A34" s="169" t="s">
        <v>614</v>
      </c>
      <c r="B34" s="170" t="s">
        <v>131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71"/>
    </row>
    <row r="35" spans="1:17" ht="15.75">
      <c r="A35" s="154" t="s">
        <v>615</v>
      </c>
      <c r="B35" s="5" t="s">
        <v>136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"/>
    </row>
    <row r="36" spans="1:17" ht="15.75">
      <c r="A36" s="154" t="s">
        <v>616</v>
      </c>
      <c r="B36" s="5" t="s">
        <v>132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1"/>
    </row>
    <row r="37" spans="1:17" ht="21.75" customHeight="1">
      <c r="A37" s="158" t="s">
        <v>617</v>
      </c>
      <c r="B37" s="5" t="s">
        <v>133</v>
      </c>
      <c r="C37" s="269"/>
      <c r="D37" s="269"/>
      <c r="E37" s="269"/>
      <c r="F37" s="269"/>
      <c r="G37" s="269"/>
      <c r="H37" s="269"/>
      <c r="I37" s="872"/>
      <c r="J37" s="872"/>
      <c r="K37" s="872"/>
      <c r="L37" s="872"/>
      <c r="M37" s="872"/>
      <c r="N37" s="872"/>
      <c r="O37" s="872"/>
      <c r="P37" s="872"/>
      <c r="Q37" s="149"/>
    </row>
    <row r="38" spans="1:17" ht="15.75">
      <c r="A38" s="158" t="s">
        <v>618</v>
      </c>
      <c r="B38" s="5" t="s">
        <v>643</v>
      </c>
      <c r="C38" s="269"/>
      <c r="D38" s="269"/>
      <c r="E38" s="269"/>
      <c r="F38" s="269"/>
      <c r="G38" s="269"/>
      <c r="H38" s="269"/>
      <c r="I38" s="872"/>
      <c r="J38" s="872"/>
      <c r="K38" s="872"/>
      <c r="L38" s="872"/>
      <c r="M38" s="872"/>
      <c r="N38" s="872"/>
      <c r="O38" s="872"/>
      <c r="P38" s="872"/>
      <c r="Q38" s="149"/>
    </row>
    <row r="39" spans="1:17" ht="15.75">
      <c r="A39" s="154" t="s">
        <v>660</v>
      </c>
      <c r="B39" s="5" t="s">
        <v>653</v>
      </c>
      <c r="C39" s="269"/>
      <c r="D39" s="269"/>
      <c r="E39" s="269"/>
      <c r="F39" s="269"/>
      <c r="G39" s="269"/>
      <c r="H39" s="269"/>
      <c r="I39" s="872"/>
      <c r="J39" s="872"/>
      <c r="K39" s="872"/>
      <c r="L39" s="872"/>
      <c r="M39" s="872"/>
      <c r="N39" s="872"/>
      <c r="O39" s="872"/>
      <c r="P39" s="872"/>
      <c r="Q39" s="149"/>
    </row>
    <row r="40" spans="1:17" ht="15.75">
      <c r="A40" s="154" t="s">
        <v>122</v>
      </c>
      <c r="B40" s="5" t="s">
        <v>319</v>
      </c>
      <c r="C40" s="269"/>
      <c r="D40" s="269"/>
      <c r="E40" s="269"/>
      <c r="F40" s="269"/>
      <c r="G40" s="269"/>
      <c r="H40" s="269"/>
      <c r="I40" s="872"/>
      <c r="J40" s="872"/>
      <c r="K40" s="872"/>
      <c r="L40" s="872"/>
      <c r="M40" s="872"/>
      <c r="N40" s="872"/>
      <c r="O40" s="872"/>
      <c r="P40" s="872"/>
      <c r="Q40" s="149"/>
    </row>
    <row r="41" spans="1:17" ht="16.5" thickBot="1">
      <c r="A41" s="159" t="s">
        <v>318</v>
      </c>
      <c r="B41" s="160" t="s">
        <v>644</v>
      </c>
      <c r="C41" s="871"/>
      <c r="D41" s="871"/>
      <c r="E41" s="871"/>
      <c r="F41" s="871"/>
      <c r="G41" s="871"/>
      <c r="H41" s="871"/>
      <c r="I41" s="873"/>
      <c r="J41" s="873"/>
      <c r="K41" s="873"/>
      <c r="L41" s="873"/>
      <c r="M41" s="873"/>
      <c r="N41" s="873"/>
      <c r="O41" s="873"/>
      <c r="P41" s="873"/>
      <c r="Q41" s="150"/>
    </row>
    <row r="42" spans="1:17" ht="31.5">
      <c r="A42" s="165"/>
      <c r="B42" s="166" t="s">
        <v>634</v>
      </c>
      <c r="C42" s="227">
        <f aca="true" t="shared" si="3" ref="C42:P42">C18/1.18</f>
        <v>101.37397</v>
      </c>
      <c r="D42" s="227">
        <f t="shared" si="3"/>
        <v>105.33624562</v>
      </c>
      <c r="E42" s="227">
        <f t="shared" si="3"/>
        <v>0</v>
      </c>
      <c r="F42" s="227">
        <f t="shared" si="3"/>
        <v>0.19830508474576272</v>
      </c>
      <c r="G42" s="227">
        <f t="shared" si="3"/>
        <v>11.11042562</v>
      </c>
      <c r="H42" s="227">
        <f t="shared" si="3"/>
        <v>0</v>
      </c>
      <c r="I42" s="227">
        <f t="shared" si="3"/>
        <v>39.505084745762716</v>
      </c>
      <c r="J42" s="227">
        <f t="shared" si="3"/>
        <v>4.5544199999999995</v>
      </c>
      <c r="K42" s="227">
        <f t="shared" si="3"/>
        <v>0</v>
      </c>
      <c r="L42" s="227">
        <f t="shared" si="3"/>
        <v>43.91271186440678</v>
      </c>
      <c r="M42" s="227">
        <f t="shared" si="3"/>
        <v>22.894109999999998</v>
      </c>
      <c r="N42" s="227">
        <f t="shared" si="3"/>
        <v>0</v>
      </c>
      <c r="O42" s="227">
        <f t="shared" si="3"/>
        <v>17.75762711864407</v>
      </c>
      <c r="P42" s="227">
        <f t="shared" si="3"/>
        <v>66.77729</v>
      </c>
      <c r="Q42" s="168"/>
    </row>
    <row r="43" spans="1:17" ht="15.75">
      <c r="A43" s="9"/>
      <c r="B43" s="5" t="s">
        <v>304</v>
      </c>
      <c r="C43" s="269"/>
      <c r="D43" s="269"/>
      <c r="E43" s="269"/>
      <c r="F43" s="269"/>
      <c r="G43" s="269"/>
      <c r="H43" s="269"/>
      <c r="I43" s="872"/>
      <c r="J43" s="872"/>
      <c r="K43" s="872"/>
      <c r="L43" s="872"/>
      <c r="M43" s="872"/>
      <c r="N43" s="872"/>
      <c r="O43" s="872"/>
      <c r="P43" s="872"/>
      <c r="Q43" s="149"/>
    </row>
    <row r="44" spans="1:17" ht="15.75">
      <c r="A44" s="9"/>
      <c r="B44" s="146" t="s">
        <v>305</v>
      </c>
      <c r="C44" s="269"/>
      <c r="D44" s="269"/>
      <c r="E44" s="269"/>
      <c r="F44" s="269"/>
      <c r="G44" s="269"/>
      <c r="H44" s="269"/>
      <c r="I44" s="872"/>
      <c r="J44" s="872"/>
      <c r="K44" s="872"/>
      <c r="L44" s="872"/>
      <c r="M44" s="872"/>
      <c r="N44" s="872"/>
      <c r="O44" s="872"/>
      <c r="P44" s="872"/>
      <c r="Q44" s="149"/>
    </row>
    <row r="45" spans="1:17" ht="16.5" thickBot="1">
      <c r="A45" s="91"/>
      <c r="B45" s="147" t="s">
        <v>306</v>
      </c>
      <c r="C45" s="871"/>
      <c r="D45" s="871"/>
      <c r="E45" s="871"/>
      <c r="F45" s="871"/>
      <c r="G45" s="871"/>
      <c r="H45" s="871"/>
      <c r="I45" s="873"/>
      <c r="J45" s="873"/>
      <c r="K45" s="873"/>
      <c r="L45" s="873"/>
      <c r="M45" s="873"/>
      <c r="N45" s="873"/>
      <c r="O45" s="873"/>
      <c r="P45" s="873"/>
      <c r="Q45" s="150"/>
    </row>
    <row r="46" spans="1:17" ht="15.75">
      <c r="A46" s="14"/>
      <c r="B46" s="157"/>
      <c r="C46" s="35"/>
      <c r="D46" s="35"/>
      <c r="E46" s="35"/>
      <c r="F46" s="35"/>
      <c r="G46" s="35"/>
      <c r="H46" s="35"/>
      <c r="I46" s="13"/>
      <c r="J46" s="13"/>
      <c r="K46" s="13"/>
      <c r="L46" s="13"/>
      <c r="M46" s="13"/>
      <c r="N46" s="13"/>
      <c r="O46" s="13"/>
      <c r="P46" s="13"/>
      <c r="Q46" s="13"/>
    </row>
    <row r="47" spans="1:16" ht="15.75">
      <c r="A47" s="14" t="s">
        <v>134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.75">
      <c r="A48" s="14" t="s">
        <v>185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.75">
      <c r="A49" s="1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9" ht="15.75">
      <c r="A50" s="35"/>
      <c r="B50" s="8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5"/>
      <c r="R50" s="13"/>
      <c r="S50" s="13"/>
    </row>
    <row r="51" spans="3:16" ht="15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3:16" ht="15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3:16" ht="15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3:16" ht="15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3:16" ht="15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3:16" ht="15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3:16" ht="15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3:16" ht="15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3:16" ht="15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3:16" ht="15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3:16" ht="15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3:16" ht="15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3:16" ht="15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3:16" ht="15.7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6" spans="7:16" ht="15.75"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0:16" ht="15.75">
      <c r="J67" s="28"/>
      <c r="K67" s="28"/>
      <c r="L67" s="28"/>
      <c r="M67" s="28"/>
      <c r="N67" s="28"/>
      <c r="O67" s="28"/>
      <c r="P67" s="28"/>
    </row>
    <row r="68" spans="3:16" ht="15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3:16" ht="15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1" spans="7:11" ht="15.75">
      <c r="G71" s="23"/>
      <c r="H71" s="23"/>
      <c r="I71" s="23"/>
      <c r="J71" s="23"/>
      <c r="K71" s="23"/>
    </row>
    <row r="72" spans="3:16" ht="15.75">
      <c r="C72" s="25"/>
      <c r="G72" s="26"/>
      <c r="H72" s="26"/>
      <c r="J72" s="24"/>
      <c r="K72" s="24"/>
      <c r="L72" s="24"/>
      <c r="M72" s="24"/>
      <c r="N72" s="24"/>
      <c r="P72" s="31"/>
    </row>
    <row r="73" spans="3:11" ht="15.75">
      <c r="C73" s="16"/>
      <c r="J73" s="16"/>
      <c r="K73" s="16"/>
    </row>
  </sheetData>
  <sheetProtection/>
  <mergeCells count="11">
    <mergeCell ref="A6:Q6"/>
    <mergeCell ref="R6:S6"/>
    <mergeCell ref="A15:A17"/>
    <mergeCell ref="B15:B17"/>
    <mergeCell ref="C15:P15"/>
    <mergeCell ref="Q15:Q17"/>
    <mergeCell ref="I16:K16"/>
    <mergeCell ref="L16:N16"/>
    <mergeCell ref="O16:P16"/>
    <mergeCell ref="C16:E16"/>
    <mergeCell ref="F16:H16"/>
  </mergeCells>
  <printOptions/>
  <pageMargins left="0.984251968503937" right="0" top="0" bottom="0" header="0" footer="0"/>
  <pageSetup fitToHeight="1" fitToWidth="1"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9"/>
  <sheetViews>
    <sheetView zoomScale="85" zoomScaleNormal="85" zoomScalePageLayoutView="0" workbookViewId="0" topLeftCell="A1">
      <selection activeCell="J16" sqref="J16"/>
    </sheetView>
  </sheetViews>
  <sheetFormatPr defaultColWidth="9.00390625" defaultRowHeight="15.75"/>
  <cols>
    <col min="1" max="1" width="8.75390625" style="1" customWidth="1"/>
    <col min="2" max="2" width="31.875" style="1" customWidth="1"/>
    <col min="3" max="3" width="7.125" style="1" customWidth="1"/>
    <col min="4" max="4" width="6.125" style="1" customWidth="1"/>
    <col min="5" max="5" width="6.25390625" style="1" customWidth="1"/>
    <col min="6" max="7" width="11.00390625" style="1" customWidth="1"/>
    <col min="8" max="9" width="7.25390625" style="1" customWidth="1"/>
    <col min="10" max="10" width="8.375" style="1" customWidth="1"/>
    <col min="11" max="12" width="10.7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11.125" style="1" customWidth="1"/>
    <col min="17" max="17" width="12.37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 t="s">
        <v>376</v>
      </c>
    </row>
    <row r="2" spans="13:22" ht="15.75">
      <c r="M2" s="4"/>
      <c r="V2" s="4" t="s">
        <v>292</v>
      </c>
    </row>
    <row r="3" spans="13:22" ht="15.75">
      <c r="M3" s="4"/>
      <c r="V3" s="4" t="s">
        <v>301</v>
      </c>
    </row>
    <row r="4" spans="13:22" ht="15.75">
      <c r="M4" s="4"/>
      <c r="V4" s="4"/>
    </row>
    <row r="5" spans="1:22" ht="69.75" customHeight="1">
      <c r="A5" s="976" t="s">
        <v>1029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6"/>
      <c r="T5" s="976"/>
      <c r="U5" s="976"/>
      <c r="V5" s="976"/>
    </row>
    <row r="6" spans="13:22" ht="15.75">
      <c r="M6" s="4"/>
      <c r="V6" s="4" t="s">
        <v>293</v>
      </c>
    </row>
    <row r="7" spans="13:22" ht="15.75">
      <c r="M7" s="4"/>
      <c r="V7" s="4" t="s">
        <v>999</v>
      </c>
    </row>
    <row r="8" spans="13:22" ht="15.75">
      <c r="M8" s="4"/>
      <c r="V8" s="4" t="s">
        <v>569</v>
      </c>
    </row>
    <row r="9" spans="13:22" ht="18.75" customHeight="1">
      <c r="M9" s="4"/>
      <c r="S9" s="1030" t="s">
        <v>997</v>
      </c>
      <c r="T9" s="1030"/>
      <c r="U9" s="1030"/>
      <c r="V9" s="1030"/>
    </row>
    <row r="10" spans="13:22" ht="15.75">
      <c r="M10" s="4"/>
      <c r="V10" s="4" t="s">
        <v>1025</v>
      </c>
    </row>
    <row r="11" spans="13:22" ht="16.5" thickBot="1">
      <c r="M11" s="4"/>
      <c r="V11" s="4" t="s">
        <v>294</v>
      </c>
    </row>
    <row r="12" spans="1:22" ht="15.75" customHeight="1">
      <c r="A12" s="1037" t="s">
        <v>609</v>
      </c>
      <c r="B12" s="1037" t="s">
        <v>661</v>
      </c>
      <c r="C12" s="1040" t="s">
        <v>651</v>
      </c>
      <c r="D12" s="1041"/>
      <c r="E12" s="1041"/>
      <c r="F12" s="1041"/>
      <c r="G12" s="1041"/>
      <c r="H12" s="1041"/>
      <c r="I12" s="1041"/>
      <c r="J12" s="1041"/>
      <c r="K12" s="1041"/>
      <c r="L12" s="1005"/>
      <c r="M12" s="1040" t="s">
        <v>138</v>
      </c>
      <c r="N12" s="1041"/>
      <c r="O12" s="1041"/>
      <c r="P12" s="1041"/>
      <c r="Q12" s="1041"/>
      <c r="R12" s="1041"/>
      <c r="S12" s="1041"/>
      <c r="T12" s="1041"/>
      <c r="U12" s="1041"/>
      <c r="V12" s="1005"/>
    </row>
    <row r="13" spans="1:22" ht="15.75" customHeight="1">
      <c r="A13" s="1038"/>
      <c r="B13" s="1038"/>
      <c r="C13" s="1042" t="s">
        <v>135</v>
      </c>
      <c r="D13" s="1043"/>
      <c r="E13" s="1043"/>
      <c r="F13" s="1043"/>
      <c r="G13" s="1044"/>
      <c r="H13" s="1045" t="s">
        <v>633</v>
      </c>
      <c r="I13" s="1043"/>
      <c r="J13" s="1043"/>
      <c r="K13" s="1043"/>
      <c r="L13" s="1046"/>
      <c r="M13" s="1042" t="s">
        <v>135</v>
      </c>
      <c r="N13" s="1043"/>
      <c r="O13" s="1043"/>
      <c r="P13" s="1043"/>
      <c r="Q13" s="1044"/>
      <c r="R13" s="1045" t="s">
        <v>633</v>
      </c>
      <c r="S13" s="1043"/>
      <c r="T13" s="1043"/>
      <c r="U13" s="1043"/>
      <c r="V13" s="1046"/>
    </row>
    <row r="14" spans="1:22" ht="15.75" customHeight="1">
      <c r="A14" s="1038"/>
      <c r="B14" s="1038"/>
      <c r="C14" s="1035" t="s">
        <v>662</v>
      </c>
      <c r="D14" s="1034"/>
      <c r="E14" s="1034"/>
      <c r="F14" s="1034"/>
      <c r="G14" s="925"/>
      <c r="H14" s="1033" t="s">
        <v>662</v>
      </c>
      <c r="I14" s="1034"/>
      <c r="J14" s="1034"/>
      <c r="K14" s="1034"/>
      <c r="L14" s="1036"/>
      <c r="M14" s="1035" t="s">
        <v>662</v>
      </c>
      <c r="N14" s="1034"/>
      <c r="O14" s="1034"/>
      <c r="P14" s="1034"/>
      <c r="Q14" s="925"/>
      <c r="R14" s="1033" t="s">
        <v>662</v>
      </c>
      <c r="S14" s="1034"/>
      <c r="T14" s="1034"/>
      <c r="U14" s="1034"/>
      <c r="V14" s="1036"/>
    </row>
    <row r="15" spans="1:22" ht="15" customHeight="1" thickBot="1">
      <c r="A15" s="1039"/>
      <c r="B15" s="1039"/>
      <c r="C15" s="94" t="s">
        <v>663</v>
      </c>
      <c r="D15" s="79" t="s">
        <v>664</v>
      </c>
      <c r="E15" s="79" t="s">
        <v>665</v>
      </c>
      <c r="F15" s="79" t="s">
        <v>971</v>
      </c>
      <c r="G15" s="79" t="s">
        <v>972</v>
      </c>
      <c r="H15" s="79" t="s">
        <v>663</v>
      </c>
      <c r="I15" s="79" t="s">
        <v>664</v>
      </c>
      <c r="J15" s="79" t="s">
        <v>665</v>
      </c>
      <c r="K15" s="79" t="s">
        <v>971</v>
      </c>
      <c r="L15" s="80" t="s">
        <v>972</v>
      </c>
      <c r="M15" s="95" t="s">
        <v>663</v>
      </c>
      <c r="N15" s="79" t="s">
        <v>664</v>
      </c>
      <c r="O15" s="79" t="s">
        <v>665</v>
      </c>
      <c r="P15" s="79" t="s">
        <v>971</v>
      </c>
      <c r="Q15" s="79" t="s">
        <v>972</v>
      </c>
      <c r="R15" s="79" t="s">
        <v>663</v>
      </c>
      <c r="S15" s="79" t="s">
        <v>664</v>
      </c>
      <c r="T15" s="79" t="s">
        <v>665</v>
      </c>
      <c r="U15" s="79" t="s">
        <v>73</v>
      </c>
      <c r="V15" s="80" t="s">
        <v>972</v>
      </c>
    </row>
    <row r="16" spans="1:22" ht="16.5" thickBot="1">
      <c r="A16" s="556">
        <v>1</v>
      </c>
      <c r="B16" s="556">
        <v>2</v>
      </c>
      <c r="C16" s="669">
        <v>3</v>
      </c>
      <c r="D16" s="670">
        <v>4</v>
      </c>
      <c r="E16" s="670">
        <v>5</v>
      </c>
      <c r="F16" s="670">
        <v>6</v>
      </c>
      <c r="G16" s="670">
        <v>7</v>
      </c>
      <c r="H16" s="671">
        <v>8</v>
      </c>
      <c r="I16" s="671">
        <v>9</v>
      </c>
      <c r="J16" s="671">
        <v>10</v>
      </c>
      <c r="K16" s="671">
        <v>11</v>
      </c>
      <c r="L16" s="672">
        <v>12</v>
      </c>
      <c r="M16" s="669">
        <v>13</v>
      </c>
      <c r="N16" s="670">
        <v>14</v>
      </c>
      <c r="O16" s="670">
        <v>15</v>
      </c>
      <c r="P16" s="670">
        <v>16</v>
      </c>
      <c r="Q16" s="670">
        <v>17</v>
      </c>
      <c r="R16" s="671">
        <v>18</v>
      </c>
      <c r="S16" s="671">
        <v>19</v>
      </c>
      <c r="T16" s="671">
        <v>20</v>
      </c>
      <c r="U16" s="671">
        <v>21</v>
      </c>
      <c r="V16" s="672">
        <v>22</v>
      </c>
    </row>
    <row r="17" spans="1:22" ht="15.75">
      <c r="A17" s="667"/>
      <c r="B17" s="668"/>
      <c r="C17" s="680"/>
      <c r="D17" s="681"/>
      <c r="E17" s="681"/>
      <c r="F17" s="681"/>
      <c r="G17" s="682"/>
      <c r="H17" s="833"/>
      <c r="I17" s="681"/>
      <c r="J17" s="681"/>
      <c r="K17" s="681"/>
      <c r="L17" s="682"/>
      <c r="M17" s="680"/>
      <c r="N17" s="681"/>
      <c r="O17" s="681"/>
      <c r="P17" s="681"/>
      <c r="Q17" s="682"/>
      <c r="R17" s="680"/>
      <c r="S17" s="681"/>
      <c r="T17" s="681"/>
      <c r="U17" s="681"/>
      <c r="V17" s="837"/>
    </row>
    <row r="18" spans="1:22" ht="32.25" customHeight="1">
      <c r="A18" s="87">
        <v>1</v>
      </c>
      <c r="B18" s="665" t="s">
        <v>181</v>
      </c>
      <c r="C18" s="52"/>
      <c r="D18" s="320"/>
      <c r="E18" s="320"/>
      <c r="F18" s="320"/>
      <c r="G18" s="664"/>
      <c r="H18" s="834"/>
      <c r="I18" s="320"/>
      <c r="J18" s="320"/>
      <c r="K18" s="320"/>
      <c r="L18" s="664"/>
      <c r="M18" s="52"/>
      <c r="N18" s="320"/>
      <c r="O18" s="320"/>
      <c r="P18" s="320"/>
      <c r="Q18" s="664"/>
      <c r="R18" s="52"/>
      <c r="S18" s="320"/>
      <c r="T18" s="320"/>
      <c r="U18" s="320"/>
      <c r="V18" s="664"/>
    </row>
    <row r="19" spans="1:22" ht="32.25" customHeight="1">
      <c r="A19" s="87" t="s">
        <v>612</v>
      </c>
      <c r="B19" s="665" t="str">
        <f>'приложение 7.1'!B21</f>
        <v>Энергосбережение и повышение энергетической эффективности</v>
      </c>
      <c r="C19" s="52"/>
      <c r="D19" s="320"/>
      <c r="E19" s="320"/>
      <c r="F19" s="320"/>
      <c r="G19" s="664"/>
      <c r="H19" s="834"/>
      <c r="I19" s="320"/>
      <c r="J19" s="320"/>
      <c r="K19" s="320"/>
      <c r="L19" s="664"/>
      <c r="M19" s="52"/>
      <c r="N19" s="320"/>
      <c r="O19" s="320"/>
      <c r="P19" s="320"/>
      <c r="Q19" s="664"/>
      <c r="R19" s="52"/>
      <c r="S19" s="320"/>
      <c r="T19" s="320"/>
      <c r="U19" s="320"/>
      <c r="V19" s="664"/>
    </row>
    <row r="20" spans="1:22" ht="15.75">
      <c r="A20" s="87" t="s">
        <v>637</v>
      </c>
      <c r="B20" s="665" t="str">
        <f>'приложение 7.1'!B22</f>
        <v>ВЛ-0,4 кВ</v>
      </c>
      <c r="C20" s="52"/>
      <c r="D20" s="320"/>
      <c r="E20" s="320"/>
      <c r="F20" s="320"/>
      <c r="G20" s="664"/>
      <c r="H20" s="834"/>
      <c r="I20" s="320"/>
      <c r="J20" s="320"/>
      <c r="K20" s="320"/>
      <c r="L20" s="664"/>
      <c r="M20" s="52"/>
      <c r="N20" s="320"/>
      <c r="O20" s="320"/>
      <c r="P20" s="320"/>
      <c r="Q20" s="664"/>
      <c r="R20" s="52"/>
      <c r="S20" s="320"/>
      <c r="T20" s="320"/>
      <c r="U20" s="320"/>
      <c r="V20" s="664"/>
    </row>
    <row r="21" spans="1:22" ht="15.75">
      <c r="A21" s="663" t="s">
        <v>886</v>
      </c>
      <c r="B21" s="665" t="str">
        <f>'приложение 7.1'!B23</f>
        <v>г.Чебоксары</v>
      </c>
      <c r="C21" s="52"/>
      <c r="D21" s="320"/>
      <c r="E21" s="320"/>
      <c r="F21" s="320"/>
      <c r="G21" s="664"/>
      <c r="H21" s="52"/>
      <c r="I21" s="320"/>
      <c r="J21" s="320"/>
      <c r="K21" s="320"/>
      <c r="L21" s="664"/>
      <c r="M21" s="52"/>
      <c r="N21" s="320"/>
      <c r="O21" s="320"/>
      <c r="P21" s="320"/>
      <c r="Q21" s="664"/>
      <c r="R21" s="52"/>
      <c r="S21" s="320"/>
      <c r="T21" s="320"/>
      <c r="U21" s="320"/>
      <c r="V21" s="664"/>
    </row>
    <row r="22" spans="1:22" ht="15.75">
      <c r="A22" s="87"/>
      <c r="B22" s="665"/>
      <c r="C22" s="52"/>
      <c r="D22" s="320"/>
      <c r="E22" s="320"/>
      <c r="F22" s="320"/>
      <c r="G22" s="664"/>
      <c r="H22" s="52"/>
      <c r="I22" s="320"/>
      <c r="J22" s="320"/>
      <c r="K22" s="320"/>
      <c r="L22" s="664"/>
      <c r="M22" s="52"/>
      <c r="N22" s="320"/>
      <c r="O22" s="320"/>
      <c r="P22" s="320"/>
      <c r="Q22" s="664"/>
      <c r="R22" s="52"/>
      <c r="S22" s="320"/>
      <c r="T22" s="320"/>
      <c r="U22" s="320"/>
      <c r="V22" s="664"/>
    </row>
    <row r="23" spans="1:22" ht="15.75">
      <c r="A23" s="663" t="s">
        <v>887</v>
      </c>
      <c r="B23" s="665" t="str">
        <f>'приложение 7.1'!B25</f>
        <v>г.Мариинский Посад</v>
      </c>
      <c r="C23" s="52"/>
      <c r="D23" s="320"/>
      <c r="E23" s="320"/>
      <c r="F23" s="320"/>
      <c r="G23" s="664"/>
      <c r="H23" s="52"/>
      <c r="I23" s="320"/>
      <c r="J23" s="320"/>
      <c r="K23" s="320"/>
      <c r="L23" s="664"/>
      <c r="M23" s="52"/>
      <c r="N23" s="320"/>
      <c r="O23" s="320"/>
      <c r="P23" s="320"/>
      <c r="Q23" s="664"/>
      <c r="R23" s="52"/>
      <c r="S23" s="320"/>
      <c r="T23" s="320"/>
      <c r="U23" s="320"/>
      <c r="V23" s="664"/>
    </row>
    <row r="24" spans="1:22" ht="47.25">
      <c r="A24" s="87">
        <v>1</v>
      </c>
      <c r="B24" s="666" t="str">
        <f>'приложение 7.1'!B26</f>
        <v>Реконструкция ВЛ-0,4 кВ с заменой на СИП, с установкой КТПК №5 </v>
      </c>
      <c r="C24" s="52" t="s">
        <v>598</v>
      </c>
      <c r="D24" s="320" t="s">
        <v>598</v>
      </c>
      <c r="E24" s="320" t="s">
        <v>598</v>
      </c>
      <c r="F24" s="320" t="str">
        <f>'приложение 7.2'!AE25</f>
        <v>3,5 км</v>
      </c>
      <c r="G24" s="664" t="str">
        <f>F24</f>
        <v>3,5 км</v>
      </c>
      <c r="H24" s="52" t="s">
        <v>598</v>
      </c>
      <c r="I24" s="320" t="s">
        <v>598</v>
      </c>
      <c r="J24" s="320" t="s">
        <v>598</v>
      </c>
      <c r="K24" s="320" t="str">
        <f>F24</f>
        <v>3,5 км</v>
      </c>
      <c r="L24" s="664" t="str">
        <f>G24</f>
        <v>3,5 км</v>
      </c>
      <c r="M24" s="52" t="str">
        <f>C24</f>
        <v>-</v>
      </c>
      <c r="N24" s="320" t="str">
        <f>D24</f>
        <v>-</v>
      </c>
      <c r="O24" s="320" t="str">
        <f>E24</f>
        <v>-</v>
      </c>
      <c r="P24" s="320" t="str">
        <f>F24</f>
        <v>3,5 км</v>
      </c>
      <c r="Q24" s="664" t="str">
        <f>G24</f>
        <v>3,5 км</v>
      </c>
      <c r="R24" s="52"/>
      <c r="S24" s="320"/>
      <c r="T24" s="320"/>
      <c r="U24" s="320" t="str">
        <f>P24</f>
        <v>3,5 км</v>
      </c>
      <c r="V24" s="664" t="str">
        <f>Q24</f>
        <v>3,5 км</v>
      </c>
    </row>
    <row r="25" spans="1:22" ht="15.75">
      <c r="A25" s="87" t="s">
        <v>650</v>
      </c>
      <c r="B25" s="665" t="str">
        <f>'приложение 7.1'!B27</f>
        <v>КЛ-0,4 кВ </v>
      </c>
      <c r="C25" s="52"/>
      <c r="D25" s="320"/>
      <c r="E25" s="320"/>
      <c r="F25" s="320"/>
      <c r="G25" s="664"/>
      <c r="H25" s="834"/>
      <c r="I25" s="320"/>
      <c r="J25" s="320"/>
      <c r="K25" s="320"/>
      <c r="L25" s="320"/>
      <c r="M25" s="52"/>
      <c r="N25" s="320"/>
      <c r="O25" s="320"/>
      <c r="P25" s="320"/>
      <c r="Q25" s="664"/>
      <c r="R25" s="52"/>
      <c r="S25" s="320"/>
      <c r="T25" s="320"/>
      <c r="U25" s="320"/>
      <c r="V25" s="664"/>
    </row>
    <row r="26" spans="1:22" ht="15.75">
      <c r="A26" s="663" t="s">
        <v>888</v>
      </c>
      <c r="B26" s="665" t="str">
        <f>'приложение 7.1'!B28</f>
        <v>г.Чебоксары</v>
      </c>
      <c r="C26" s="52"/>
      <c r="D26" s="320"/>
      <c r="E26" s="320"/>
      <c r="F26" s="320"/>
      <c r="G26" s="664"/>
      <c r="H26" s="52"/>
      <c r="I26" s="320"/>
      <c r="J26" s="320"/>
      <c r="K26" s="320"/>
      <c r="L26" s="664"/>
      <c r="M26" s="52"/>
      <c r="N26" s="320"/>
      <c r="O26" s="320"/>
      <c r="P26" s="320"/>
      <c r="Q26" s="664"/>
      <c r="R26" s="52"/>
      <c r="S26" s="320"/>
      <c r="T26" s="320"/>
      <c r="U26" s="320"/>
      <c r="V26" s="664"/>
    </row>
    <row r="27" spans="1:22" ht="25.5" customHeight="1">
      <c r="A27" s="87">
        <v>1</v>
      </c>
      <c r="B27" s="666" t="str">
        <f>'приложение 7.1'!B29</f>
        <v>ТП-310 ул.Шумилова,13Б</v>
      </c>
      <c r="C27" s="52" t="s">
        <v>598</v>
      </c>
      <c r="D27" s="320" t="s">
        <v>598</v>
      </c>
      <c r="E27" s="320" t="s">
        <v>598</v>
      </c>
      <c r="F27" s="320" t="str">
        <f>'приложение 7.2'!AE28</f>
        <v>1,33 км</v>
      </c>
      <c r="G27" s="664" t="str">
        <f>F27</f>
        <v>1,33 км</v>
      </c>
      <c r="H27" s="52" t="s">
        <v>598</v>
      </c>
      <c r="I27" s="320" t="s">
        <v>598</v>
      </c>
      <c r="J27" s="320" t="s">
        <v>598</v>
      </c>
      <c r="K27" s="320" t="str">
        <f>F27</f>
        <v>1,33 км</v>
      </c>
      <c r="L27" s="320" t="str">
        <f>G27</f>
        <v>1,33 км</v>
      </c>
      <c r="M27" s="52" t="str">
        <f aca="true" t="shared" si="0" ref="M27:Q31">C27</f>
        <v>-</v>
      </c>
      <c r="N27" s="320" t="str">
        <f t="shared" si="0"/>
        <v>-</v>
      </c>
      <c r="O27" s="320" t="str">
        <f t="shared" si="0"/>
        <v>-</v>
      </c>
      <c r="P27" s="320" t="str">
        <f t="shared" si="0"/>
        <v>1,33 км</v>
      </c>
      <c r="Q27" s="664" t="str">
        <f t="shared" si="0"/>
        <v>1,33 км</v>
      </c>
      <c r="R27" s="52"/>
      <c r="S27" s="320"/>
      <c r="T27" s="320"/>
      <c r="U27" s="320" t="str">
        <f>P27</f>
        <v>1,33 км</v>
      </c>
      <c r="V27" s="664" t="str">
        <f>Q27</f>
        <v>1,33 км</v>
      </c>
    </row>
    <row r="28" spans="1:22" ht="20.25" customHeight="1">
      <c r="A28" s="87">
        <v>2</v>
      </c>
      <c r="B28" s="666" t="str">
        <f>'приложение 7.1'!B30</f>
        <v>ТП-341 б-р Эгерский,18А</v>
      </c>
      <c r="C28" s="52" t="s">
        <v>598</v>
      </c>
      <c r="D28" s="320" t="s">
        <v>598</v>
      </c>
      <c r="E28" s="320" t="s">
        <v>598</v>
      </c>
      <c r="F28" s="320" t="str">
        <f>'приложение 7.2'!AE29</f>
        <v>2,49 км</v>
      </c>
      <c r="G28" s="664" t="str">
        <f>F28</f>
        <v>2,49 км</v>
      </c>
      <c r="H28" s="52" t="s">
        <v>598</v>
      </c>
      <c r="I28" s="320" t="s">
        <v>598</v>
      </c>
      <c r="J28" s="320" t="s">
        <v>598</v>
      </c>
      <c r="K28" s="320" t="str">
        <f>F28</f>
        <v>2,49 км</v>
      </c>
      <c r="L28" s="320" t="str">
        <f>G28</f>
        <v>2,49 км</v>
      </c>
      <c r="M28" s="52" t="str">
        <f t="shared" si="0"/>
        <v>-</v>
      </c>
      <c r="N28" s="320" t="str">
        <f t="shared" si="0"/>
        <v>-</v>
      </c>
      <c r="O28" s="320" t="str">
        <f t="shared" si="0"/>
        <v>-</v>
      </c>
      <c r="P28" s="320" t="str">
        <f t="shared" si="0"/>
        <v>2,49 км</v>
      </c>
      <c r="Q28" s="664" t="str">
        <f t="shared" si="0"/>
        <v>2,49 км</v>
      </c>
      <c r="R28" s="52"/>
      <c r="S28" s="320"/>
      <c r="T28" s="320"/>
      <c r="U28" s="320" t="str">
        <f>P28</f>
        <v>2,49 км</v>
      </c>
      <c r="V28" s="664" t="str">
        <f>Q28</f>
        <v>2,49 км</v>
      </c>
    </row>
    <row r="29" spans="1:22" ht="21.75" customHeight="1">
      <c r="A29" s="87">
        <v>3</v>
      </c>
      <c r="B29" s="666" t="str">
        <f>'приложение 7.1'!B31</f>
        <v>ТП-342 ул.Л.Комсомола,36А</v>
      </c>
      <c r="C29" s="52" t="s">
        <v>598</v>
      </c>
      <c r="D29" s="320" t="s">
        <v>598</v>
      </c>
      <c r="E29" s="320" t="s">
        <v>598</v>
      </c>
      <c r="F29" s="320" t="str">
        <f>'приложение 7.2'!AE30</f>
        <v>1,9 км</v>
      </c>
      <c r="G29" s="664" t="str">
        <f>F29</f>
        <v>1,9 км</v>
      </c>
      <c r="H29" s="52" t="s">
        <v>598</v>
      </c>
      <c r="I29" s="320" t="s">
        <v>598</v>
      </c>
      <c r="J29" s="320" t="str">
        <f>F29</f>
        <v>1,9 км</v>
      </c>
      <c r="K29" s="320" t="s">
        <v>598</v>
      </c>
      <c r="L29" s="664" t="str">
        <f>G29</f>
        <v>1,9 км</v>
      </c>
      <c r="M29" s="52" t="str">
        <f t="shared" si="0"/>
        <v>-</v>
      </c>
      <c r="N29" s="320" t="str">
        <f t="shared" si="0"/>
        <v>-</v>
      </c>
      <c r="O29" s="320" t="str">
        <f t="shared" si="0"/>
        <v>-</v>
      </c>
      <c r="P29" s="320" t="str">
        <f t="shared" si="0"/>
        <v>1,9 км</v>
      </c>
      <c r="Q29" s="664" t="str">
        <f t="shared" si="0"/>
        <v>1,9 км</v>
      </c>
      <c r="R29" s="52" t="s">
        <v>598</v>
      </c>
      <c r="S29" s="320" t="s">
        <v>598</v>
      </c>
      <c r="T29" s="320" t="str">
        <f>P29</f>
        <v>1,9 км</v>
      </c>
      <c r="U29" s="320" t="s">
        <v>598</v>
      </c>
      <c r="V29" s="664" t="str">
        <f>Q29</f>
        <v>1,9 км</v>
      </c>
    </row>
    <row r="30" spans="1:22" ht="47.25">
      <c r="A30" s="87">
        <v>4</v>
      </c>
      <c r="B30" s="666" t="str">
        <f>'приложение 7.1'!B32</f>
        <v>ТП-66 ул. Ленина, 16б, г.Чебоксары (разработка рабочей документации)</v>
      </c>
      <c r="C30" s="52" t="s">
        <v>598</v>
      </c>
      <c r="D30" s="320" t="s">
        <v>598</v>
      </c>
      <c r="E30" s="320" t="s">
        <v>598</v>
      </c>
      <c r="F30" s="320" t="s">
        <v>598</v>
      </c>
      <c r="G30" s="664" t="str">
        <f>F30</f>
        <v>-</v>
      </c>
      <c r="H30" s="52" t="s">
        <v>598</v>
      </c>
      <c r="I30" s="320" t="s">
        <v>598</v>
      </c>
      <c r="J30" s="320" t="s">
        <v>598</v>
      </c>
      <c r="K30" s="320" t="str">
        <f>F30</f>
        <v>-</v>
      </c>
      <c r="L30" s="664" t="str">
        <f>G30</f>
        <v>-</v>
      </c>
      <c r="M30" s="52" t="str">
        <f t="shared" si="0"/>
        <v>-</v>
      </c>
      <c r="N30" s="320" t="str">
        <f t="shared" si="0"/>
        <v>-</v>
      </c>
      <c r="O30" s="320" t="str">
        <f t="shared" si="0"/>
        <v>-</v>
      </c>
      <c r="P30" s="320" t="str">
        <f t="shared" si="0"/>
        <v>-</v>
      </c>
      <c r="Q30" s="664" t="str">
        <f t="shared" si="0"/>
        <v>-</v>
      </c>
      <c r="R30" s="52"/>
      <c r="S30" s="320"/>
      <c r="T30" s="320"/>
      <c r="U30" s="320"/>
      <c r="V30" s="664"/>
    </row>
    <row r="31" spans="1:22" ht="47.25">
      <c r="A31" s="87">
        <v>5</v>
      </c>
      <c r="B31" s="666" t="str">
        <f>'приложение 7.1'!B33</f>
        <v>ТП-260 ул. Гагарина, 15б, г.Чебоксары (разработка рабочей документации)</v>
      </c>
      <c r="C31" s="52" t="s">
        <v>598</v>
      </c>
      <c r="D31" s="320" t="s">
        <v>598</v>
      </c>
      <c r="E31" s="320" t="s">
        <v>598</v>
      </c>
      <c r="F31" s="320" t="s">
        <v>598</v>
      </c>
      <c r="G31" s="664" t="str">
        <f>F31</f>
        <v>-</v>
      </c>
      <c r="H31" s="52" t="s">
        <v>598</v>
      </c>
      <c r="I31" s="320" t="s">
        <v>598</v>
      </c>
      <c r="J31" s="320" t="s">
        <v>598</v>
      </c>
      <c r="K31" s="320" t="str">
        <f>F31</f>
        <v>-</v>
      </c>
      <c r="L31" s="664" t="str">
        <f>G31</f>
        <v>-</v>
      </c>
      <c r="M31" s="52" t="str">
        <f t="shared" si="0"/>
        <v>-</v>
      </c>
      <c r="N31" s="320" t="str">
        <f t="shared" si="0"/>
        <v>-</v>
      </c>
      <c r="O31" s="320" t="str">
        <f t="shared" si="0"/>
        <v>-</v>
      </c>
      <c r="P31" s="320" t="str">
        <f t="shared" si="0"/>
        <v>-</v>
      </c>
      <c r="Q31" s="664" t="str">
        <f t="shared" si="0"/>
        <v>-</v>
      </c>
      <c r="R31" s="52"/>
      <c r="S31" s="320"/>
      <c r="T31" s="320"/>
      <c r="U31" s="320"/>
      <c r="V31" s="664"/>
    </row>
    <row r="32" spans="1:22" ht="15.75">
      <c r="A32" s="87" t="s">
        <v>654</v>
      </c>
      <c r="B32" s="665" t="str">
        <f>'приложение 7.1'!B34</f>
        <v>ТП-6-10/0.4 кВ</v>
      </c>
      <c r="C32" s="52"/>
      <c r="D32" s="320"/>
      <c r="E32" s="320"/>
      <c r="F32" s="320"/>
      <c r="G32" s="664"/>
      <c r="H32" s="834"/>
      <c r="I32" s="320"/>
      <c r="J32" s="320"/>
      <c r="K32" s="320"/>
      <c r="L32" s="320"/>
      <c r="M32" s="52"/>
      <c r="N32" s="320"/>
      <c r="O32" s="320"/>
      <c r="P32" s="320"/>
      <c r="Q32" s="664"/>
      <c r="R32" s="52"/>
      <c r="S32" s="320"/>
      <c r="T32" s="320"/>
      <c r="U32" s="320"/>
      <c r="V32" s="664"/>
    </row>
    <row r="33" spans="1:22" ht="21.75" customHeight="1">
      <c r="A33" s="663"/>
      <c r="B33" s="666"/>
      <c r="C33" s="52"/>
      <c r="D33" s="320"/>
      <c r="E33" s="320"/>
      <c r="F33" s="344"/>
      <c r="G33" s="30"/>
      <c r="H33" s="52"/>
      <c r="I33" s="320"/>
      <c r="J33" s="320"/>
      <c r="K33" s="344"/>
      <c r="L33" s="30"/>
      <c r="M33" s="52"/>
      <c r="N33" s="320"/>
      <c r="O33" s="320"/>
      <c r="P33" s="344"/>
      <c r="Q33" s="30"/>
      <c r="R33" s="52"/>
      <c r="S33" s="320"/>
      <c r="T33" s="320"/>
      <c r="U33" s="344"/>
      <c r="V33" s="30"/>
    </row>
    <row r="34" spans="1:22" ht="31.5" customHeight="1">
      <c r="A34" s="87" t="s">
        <v>613</v>
      </c>
      <c r="B34" s="665" t="str">
        <f>'приложение 7.1'!B36</f>
        <v>Создание систем телеуправления и сигнализации</v>
      </c>
      <c r="C34" s="52"/>
      <c r="D34" s="320"/>
      <c r="E34" s="320"/>
      <c r="F34" s="320"/>
      <c r="G34" s="664"/>
      <c r="H34" s="834"/>
      <c r="I34" s="320"/>
      <c r="J34" s="320"/>
      <c r="K34" s="320"/>
      <c r="L34" s="320"/>
      <c r="M34" s="52"/>
      <c r="N34" s="320"/>
      <c r="O34" s="320"/>
      <c r="P34" s="320"/>
      <c r="Q34" s="664"/>
      <c r="R34" s="52"/>
      <c r="S34" s="320"/>
      <c r="T34" s="320"/>
      <c r="U34" s="320"/>
      <c r="V34" s="664"/>
    </row>
    <row r="35" spans="1:22" ht="15.75">
      <c r="A35" s="663" t="s">
        <v>888</v>
      </c>
      <c r="B35" s="665" t="str">
        <f>'приложение 7.1'!B37</f>
        <v>г.Чебоксары</v>
      </c>
      <c r="C35" s="52"/>
      <c r="D35" s="320"/>
      <c r="E35" s="320"/>
      <c r="F35" s="320"/>
      <c r="G35" s="664"/>
      <c r="H35" s="52"/>
      <c r="I35" s="320"/>
      <c r="J35" s="320"/>
      <c r="K35" s="320"/>
      <c r="L35" s="664"/>
      <c r="M35" s="52"/>
      <c r="N35" s="320"/>
      <c r="O35" s="320"/>
      <c r="P35" s="320"/>
      <c r="Q35" s="664"/>
      <c r="R35" s="52"/>
      <c r="S35" s="320"/>
      <c r="T35" s="320"/>
      <c r="U35" s="320"/>
      <c r="V35" s="664"/>
    </row>
    <row r="36" spans="1:22" ht="21.75" customHeight="1">
      <c r="A36" s="87">
        <v>1</v>
      </c>
      <c r="B36" s="666" t="str">
        <f>'приложение 7.1'!B38</f>
        <v>РП-7 ул.П.Лумумба, 17 </v>
      </c>
      <c r="C36" s="52" t="s">
        <v>598</v>
      </c>
      <c r="D36" s="320" t="s">
        <v>598</v>
      </c>
      <c r="E36" s="320" t="s">
        <v>598</v>
      </c>
      <c r="F36" s="320" t="str">
        <f>'приложение 7.2'!AE37</f>
        <v>1 комплект</v>
      </c>
      <c r="G36" s="664" t="str">
        <f>F36</f>
        <v>1 комплект</v>
      </c>
      <c r="H36" s="52" t="s">
        <v>598</v>
      </c>
      <c r="I36" s="320" t="s">
        <v>598</v>
      </c>
      <c r="J36" s="320" t="s">
        <v>598</v>
      </c>
      <c r="K36" s="320" t="s">
        <v>598</v>
      </c>
      <c r="L36" s="664" t="s">
        <v>598</v>
      </c>
      <c r="M36" s="52" t="str">
        <f aca="true" t="shared" si="1" ref="M36:Q37">C36</f>
        <v>-</v>
      </c>
      <c r="N36" s="320" t="str">
        <f t="shared" si="1"/>
        <v>-</v>
      </c>
      <c r="O36" s="320" t="str">
        <f t="shared" si="1"/>
        <v>-</v>
      </c>
      <c r="P36" s="320" t="str">
        <f t="shared" si="1"/>
        <v>1 комплект</v>
      </c>
      <c r="Q36" s="664" t="str">
        <f t="shared" si="1"/>
        <v>1 комплект</v>
      </c>
      <c r="R36" s="52"/>
      <c r="S36" s="320"/>
      <c r="T36" s="320"/>
      <c r="U36" s="320"/>
      <c r="V36" s="664"/>
    </row>
    <row r="37" spans="1:22" ht="21.75" customHeight="1">
      <c r="A37" s="87">
        <v>2</v>
      </c>
      <c r="B37" s="666" t="str">
        <f>'приложение 7.1'!B39</f>
        <v>РП-31, ул.Гладкова, 29</v>
      </c>
      <c r="C37" s="52" t="s">
        <v>598</v>
      </c>
      <c r="D37" s="320" t="s">
        <v>598</v>
      </c>
      <c r="E37" s="320" t="s">
        <v>598</v>
      </c>
      <c r="F37" s="320" t="str">
        <f>'приложение 7.2'!AE38</f>
        <v>1 комплект</v>
      </c>
      <c r="G37" s="664" t="str">
        <f>F37</f>
        <v>1 комплект</v>
      </c>
      <c r="H37" s="52" t="s">
        <v>598</v>
      </c>
      <c r="I37" s="320" t="s">
        <v>598</v>
      </c>
      <c r="J37" s="320" t="s">
        <v>598</v>
      </c>
      <c r="K37" s="320" t="s">
        <v>598</v>
      </c>
      <c r="L37" s="664" t="s">
        <v>598</v>
      </c>
      <c r="M37" s="52" t="str">
        <f t="shared" si="1"/>
        <v>-</v>
      </c>
      <c r="N37" s="320" t="str">
        <f t="shared" si="1"/>
        <v>-</v>
      </c>
      <c r="O37" s="320" t="str">
        <f t="shared" si="1"/>
        <v>-</v>
      </c>
      <c r="P37" s="320" t="str">
        <f t="shared" si="1"/>
        <v>1 комплект</v>
      </c>
      <c r="Q37" s="664" t="str">
        <f t="shared" si="1"/>
        <v>1 комплект</v>
      </c>
      <c r="R37" s="52"/>
      <c r="S37" s="320"/>
      <c r="T37" s="320"/>
      <c r="U37" s="320"/>
      <c r="V37" s="664"/>
    </row>
    <row r="38" spans="1:22" ht="21.75" customHeight="1">
      <c r="A38" s="87">
        <v>3</v>
      </c>
      <c r="B38" s="666" t="str">
        <f>'приложение 7.1'!B40</f>
        <v>РП-20, ул.Р.Зорге, 6</v>
      </c>
      <c r="C38" s="52" t="s">
        <v>598</v>
      </c>
      <c r="D38" s="320" t="s">
        <v>598</v>
      </c>
      <c r="E38" s="320" t="s">
        <v>598</v>
      </c>
      <c r="F38" s="320" t="str">
        <f>'приложение 7.2'!AE39</f>
        <v>1 комплект</v>
      </c>
      <c r="G38" s="664" t="str">
        <f>F38</f>
        <v>1 комплект</v>
      </c>
      <c r="H38" s="52" t="s">
        <v>598</v>
      </c>
      <c r="I38" s="320" t="s">
        <v>598</v>
      </c>
      <c r="J38" s="320" t="s">
        <v>598</v>
      </c>
      <c r="K38" s="320" t="s">
        <v>598</v>
      </c>
      <c r="L38" s="664" t="s">
        <v>598</v>
      </c>
      <c r="M38" s="52" t="str">
        <f>C38</f>
        <v>-</v>
      </c>
      <c r="N38" s="320" t="str">
        <f>D38</f>
        <v>-</v>
      </c>
      <c r="O38" s="320" t="str">
        <f>E38</f>
        <v>-</v>
      </c>
      <c r="P38" s="320" t="str">
        <f>F38</f>
        <v>1 комплект</v>
      </c>
      <c r="Q38" s="664" t="str">
        <f>G38</f>
        <v>1 комплект</v>
      </c>
      <c r="R38" s="52"/>
      <c r="S38" s="320"/>
      <c r="T38" s="320"/>
      <c r="U38" s="320"/>
      <c r="V38" s="664"/>
    </row>
    <row r="39" spans="1:22" ht="50.25" customHeight="1">
      <c r="A39" s="87" t="s">
        <v>623</v>
      </c>
      <c r="B39" s="665" t="str">
        <f>'приложение 7.1'!B41</f>
        <v>Прочее техническое перевооружение и реконструкция</v>
      </c>
      <c r="C39" s="52"/>
      <c r="D39" s="320"/>
      <c r="E39" s="320"/>
      <c r="F39" s="320"/>
      <c r="G39" s="664"/>
      <c r="H39" s="834"/>
      <c r="I39" s="320"/>
      <c r="J39" s="320"/>
      <c r="K39" s="320"/>
      <c r="L39" s="320"/>
      <c r="M39" s="52"/>
      <c r="N39" s="320"/>
      <c r="O39" s="320"/>
      <c r="P39" s="320"/>
      <c r="Q39" s="664"/>
      <c r="R39" s="52"/>
      <c r="S39" s="320"/>
      <c r="T39" s="320"/>
      <c r="U39" s="320"/>
      <c r="V39" s="664"/>
    </row>
    <row r="40" spans="1:22" ht="15.75">
      <c r="A40" s="87" t="s">
        <v>817</v>
      </c>
      <c r="B40" s="665" t="str">
        <f>'приложение 7.1'!B42</f>
        <v>ПС 110/6 кВ</v>
      </c>
      <c r="C40" s="52"/>
      <c r="D40" s="320"/>
      <c r="E40" s="320"/>
      <c r="F40" s="320"/>
      <c r="G40" s="664"/>
      <c r="H40" s="834"/>
      <c r="I40" s="320"/>
      <c r="J40" s="320"/>
      <c r="K40" s="320"/>
      <c r="L40" s="320"/>
      <c r="M40" s="52"/>
      <c r="N40" s="320"/>
      <c r="O40" s="320"/>
      <c r="P40" s="320"/>
      <c r="Q40" s="664"/>
      <c r="R40" s="52"/>
      <c r="S40" s="320"/>
      <c r="T40" s="320"/>
      <c r="U40" s="320"/>
      <c r="V40" s="664"/>
    </row>
    <row r="41" spans="1:22" ht="15.75">
      <c r="A41" s="87" t="s">
        <v>706</v>
      </c>
      <c r="B41" s="665" t="str">
        <f>'приложение 7.1'!B43</f>
        <v>ВЛ-6-10 кВ</v>
      </c>
      <c r="C41" s="52"/>
      <c r="D41" s="320"/>
      <c r="E41" s="320"/>
      <c r="F41" s="320"/>
      <c r="G41" s="664"/>
      <c r="H41" s="834"/>
      <c r="I41" s="320"/>
      <c r="J41" s="320"/>
      <c r="K41" s="320"/>
      <c r="L41" s="320"/>
      <c r="M41" s="52"/>
      <c r="N41" s="320"/>
      <c r="O41" s="320"/>
      <c r="P41" s="320"/>
      <c r="Q41" s="664"/>
      <c r="R41" s="52"/>
      <c r="S41" s="320"/>
      <c r="T41" s="320"/>
      <c r="U41" s="320"/>
      <c r="V41" s="664"/>
    </row>
    <row r="42" spans="1:22" ht="21.75" customHeight="1">
      <c r="A42" s="663" t="s">
        <v>888</v>
      </c>
      <c r="B42" s="665" t="str">
        <f>'приложение 7.1'!B44</f>
        <v>г.Чебоксары</v>
      </c>
      <c r="C42" s="52"/>
      <c r="D42" s="320"/>
      <c r="E42" s="320"/>
      <c r="F42" s="320"/>
      <c r="G42" s="664"/>
      <c r="H42" s="52"/>
      <c r="I42" s="320"/>
      <c r="J42" s="320"/>
      <c r="K42" s="320"/>
      <c r="L42" s="664"/>
      <c r="M42" s="52"/>
      <c r="N42" s="320"/>
      <c r="O42" s="320"/>
      <c r="P42" s="320"/>
      <c r="Q42" s="664"/>
      <c r="R42" s="52"/>
      <c r="S42" s="320"/>
      <c r="T42" s="320"/>
      <c r="U42" s="320"/>
      <c r="V42" s="664"/>
    </row>
    <row r="43" spans="1:22" ht="48.75" customHeight="1">
      <c r="A43" s="87">
        <v>1</v>
      </c>
      <c r="B43" s="666" t="str">
        <f>'приложение 7.1'!B45</f>
        <v>Реконструкция ВЛ-6/10 кВ с установкой реклузеров в Заволжье, г.Чебоксары</v>
      </c>
      <c r="C43" s="52" t="s">
        <v>598</v>
      </c>
      <c r="D43" s="320" t="s">
        <v>598</v>
      </c>
      <c r="E43" s="320" t="s">
        <v>598</v>
      </c>
      <c r="F43" s="320" t="str">
        <f>'приложение 7.2'!AE44</f>
        <v>9 компл</v>
      </c>
      <c r="G43" s="664" t="str">
        <f>F43</f>
        <v>9 компл</v>
      </c>
      <c r="H43" s="52" t="s">
        <v>598</v>
      </c>
      <c r="I43" s="320" t="s">
        <v>598</v>
      </c>
      <c r="J43" s="320" t="s">
        <v>598</v>
      </c>
      <c r="K43" s="320" t="s">
        <v>1044</v>
      </c>
      <c r="L43" s="664" t="s">
        <v>1044</v>
      </c>
      <c r="M43" s="52" t="str">
        <f>C43</f>
        <v>-</v>
      </c>
      <c r="N43" s="320" t="str">
        <f>D43</f>
        <v>-</v>
      </c>
      <c r="O43" s="320" t="str">
        <f>E43</f>
        <v>-</v>
      </c>
      <c r="P43" s="320" t="str">
        <f>F43</f>
        <v>9 компл</v>
      </c>
      <c r="Q43" s="664" t="str">
        <f>G43</f>
        <v>9 компл</v>
      </c>
      <c r="R43" s="52"/>
      <c r="S43" s="320"/>
      <c r="T43" s="320"/>
      <c r="U43" s="320"/>
      <c r="V43" s="664"/>
    </row>
    <row r="44" spans="1:22" ht="15.75">
      <c r="A44" s="87" t="s">
        <v>707</v>
      </c>
      <c r="B44" s="665" t="str">
        <f>'приложение 7.1'!B46</f>
        <v>ВЛ-0,4 кВ</v>
      </c>
      <c r="C44" s="52"/>
      <c r="D44" s="320"/>
      <c r="E44" s="320"/>
      <c r="F44" s="320"/>
      <c r="G44" s="664"/>
      <c r="H44" s="834"/>
      <c r="I44" s="320"/>
      <c r="J44" s="320"/>
      <c r="K44" s="320"/>
      <c r="L44" s="320"/>
      <c r="M44" s="52"/>
      <c r="N44" s="320"/>
      <c r="O44" s="320"/>
      <c r="P44" s="320"/>
      <c r="Q44" s="664"/>
      <c r="R44" s="52"/>
      <c r="S44" s="320"/>
      <c r="T44" s="320"/>
      <c r="U44" s="320"/>
      <c r="V44" s="664"/>
    </row>
    <row r="45" spans="1:22" ht="15.75">
      <c r="A45" s="663" t="s">
        <v>890</v>
      </c>
      <c r="B45" s="665" t="str">
        <f>'приложение 7.1'!B47</f>
        <v>г.Чебоксары</v>
      </c>
      <c r="C45" s="52"/>
      <c r="D45" s="320"/>
      <c r="E45" s="320"/>
      <c r="F45" s="320"/>
      <c r="G45" s="664"/>
      <c r="H45" s="52"/>
      <c r="I45" s="320"/>
      <c r="J45" s="320"/>
      <c r="K45" s="320"/>
      <c r="L45" s="664"/>
      <c r="M45" s="52"/>
      <c r="N45" s="320"/>
      <c r="O45" s="320"/>
      <c r="P45" s="320"/>
      <c r="Q45" s="664"/>
      <c r="R45" s="52"/>
      <c r="S45" s="320"/>
      <c r="T45" s="320"/>
      <c r="U45" s="320"/>
      <c r="V45" s="664"/>
    </row>
    <row r="46" spans="1:22" ht="34.5" customHeight="1">
      <c r="A46" s="87">
        <v>1</v>
      </c>
      <c r="B46" s="666" t="str">
        <f>'приложение 7.1'!B48</f>
        <v>от ТП-117, ул.Энергетиков, 32А (разработка рабочей документации)</v>
      </c>
      <c r="C46" s="52" t="s">
        <v>598</v>
      </c>
      <c r="D46" s="320" t="s">
        <v>598</v>
      </c>
      <c r="E46" s="320" t="s">
        <v>598</v>
      </c>
      <c r="F46" s="320" t="s">
        <v>598</v>
      </c>
      <c r="G46" s="664" t="str">
        <f>F46</f>
        <v>-</v>
      </c>
      <c r="H46" s="52" t="s">
        <v>598</v>
      </c>
      <c r="I46" s="320" t="s">
        <v>598</v>
      </c>
      <c r="J46" s="320" t="s">
        <v>598</v>
      </c>
      <c r="K46" s="320" t="str">
        <f aca="true" t="shared" si="2" ref="K46:L48">F46</f>
        <v>-</v>
      </c>
      <c r="L46" s="664" t="str">
        <f t="shared" si="2"/>
        <v>-</v>
      </c>
      <c r="M46" s="52" t="str">
        <f aca="true" t="shared" si="3" ref="M46:Q48">C46</f>
        <v>-</v>
      </c>
      <c r="N46" s="320" t="str">
        <f t="shared" si="3"/>
        <v>-</v>
      </c>
      <c r="O46" s="320" t="str">
        <f t="shared" si="3"/>
        <v>-</v>
      </c>
      <c r="P46" s="320" t="str">
        <f t="shared" si="3"/>
        <v>-</v>
      </c>
      <c r="Q46" s="664" t="str">
        <f t="shared" si="3"/>
        <v>-</v>
      </c>
      <c r="R46" s="52"/>
      <c r="S46" s="320"/>
      <c r="T46" s="320"/>
      <c r="U46" s="320"/>
      <c r="V46" s="664"/>
    </row>
    <row r="47" spans="1:22" ht="34.5" customHeight="1">
      <c r="A47" s="87">
        <v>2</v>
      </c>
      <c r="B47" s="666" t="str">
        <f>'приложение 7.1'!B49</f>
        <v>от ТП-450 по ул.Болгарстроя, 1В с установкой КТПН</v>
      </c>
      <c r="C47" s="52" t="s">
        <v>598</v>
      </c>
      <c r="D47" s="320" t="s">
        <v>598</v>
      </c>
      <c r="E47" s="320" t="s">
        <v>598</v>
      </c>
      <c r="F47" s="320" t="s">
        <v>1040</v>
      </c>
      <c r="G47" s="664" t="str">
        <f>F47</f>
        <v>0,72км</v>
      </c>
      <c r="H47" s="52" t="s">
        <v>598</v>
      </c>
      <c r="I47" s="320" t="s">
        <v>598</v>
      </c>
      <c r="J47" s="320" t="s">
        <v>598</v>
      </c>
      <c r="K47" s="320" t="str">
        <f t="shared" si="2"/>
        <v>0,72км</v>
      </c>
      <c r="L47" s="664" t="str">
        <f t="shared" si="2"/>
        <v>0,72км</v>
      </c>
      <c r="M47" s="52" t="str">
        <f t="shared" si="3"/>
        <v>-</v>
      </c>
      <c r="N47" s="320" t="str">
        <f t="shared" si="3"/>
        <v>-</v>
      </c>
      <c r="O47" s="320" t="str">
        <f t="shared" si="3"/>
        <v>-</v>
      </c>
      <c r="P47" s="320" t="str">
        <f t="shared" si="3"/>
        <v>0,72км</v>
      </c>
      <c r="Q47" s="664" t="str">
        <f t="shared" si="3"/>
        <v>0,72км</v>
      </c>
      <c r="R47" s="52"/>
      <c r="S47" s="320"/>
      <c r="T47" s="320"/>
      <c r="U47" s="320"/>
      <c r="V47" s="664"/>
    </row>
    <row r="48" spans="1:22" ht="52.5" customHeight="1">
      <c r="A48" s="87">
        <v>3</v>
      </c>
      <c r="B48" s="666" t="str">
        <f>'приложение 7.1'!B50</f>
        <v>Разработка проекта освоения лесов по объекту "ВЛ-0,4 кВ от ТП-616 пос.Первомайский"</v>
      </c>
      <c r="C48" s="52" t="s">
        <v>598</v>
      </c>
      <c r="D48" s="320" t="s">
        <v>598</v>
      </c>
      <c r="E48" s="320" t="s">
        <v>598</v>
      </c>
      <c r="F48" s="320" t="s">
        <v>598</v>
      </c>
      <c r="G48" s="664" t="str">
        <f>F48</f>
        <v>-</v>
      </c>
      <c r="H48" s="52" t="s">
        <v>598</v>
      </c>
      <c r="I48" s="320" t="s">
        <v>598</v>
      </c>
      <c r="J48" s="320" t="s">
        <v>598</v>
      </c>
      <c r="K48" s="320" t="str">
        <f t="shared" si="2"/>
        <v>-</v>
      </c>
      <c r="L48" s="664" t="str">
        <f t="shared" si="2"/>
        <v>-</v>
      </c>
      <c r="M48" s="52" t="str">
        <f t="shared" si="3"/>
        <v>-</v>
      </c>
      <c r="N48" s="320" t="str">
        <f t="shared" si="3"/>
        <v>-</v>
      </c>
      <c r="O48" s="320" t="str">
        <f t="shared" si="3"/>
        <v>-</v>
      </c>
      <c r="P48" s="320" t="str">
        <f t="shared" si="3"/>
        <v>-</v>
      </c>
      <c r="Q48" s="664" t="str">
        <f t="shared" si="3"/>
        <v>-</v>
      </c>
      <c r="R48" s="52"/>
      <c r="S48" s="320"/>
      <c r="T48" s="320"/>
      <c r="U48" s="320"/>
      <c r="V48" s="664"/>
    </row>
    <row r="49" spans="1:22" ht="18" customHeight="1">
      <c r="A49" s="87" t="s">
        <v>846</v>
      </c>
      <c r="B49" s="665" t="str">
        <f>'приложение 7.1'!B51</f>
        <v>г.Мариинский Посад</v>
      </c>
      <c r="C49" s="52"/>
      <c r="D49" s="320"/>
      <c r="E49" s="320"/>
      <c r="F49" s="320"/>
      <c r="G49" s="664"/>
      <c r="H49" s="834"/>
      <c r="I49" s="320"/>
      <c r="J49" s="320"/>
      <c r="K49" s="320"/>
      <c r="L49" s="320"/>
      <c r="M49" s="52"/>
      <c r="N49" s="320"/>
      <c r="O49" s="320"/>
      <c r="P49" s="320"/>
      <c r="Q49" s="664"/>
      <c r="R49" s="52"/>
      <c r="S49" s="320"/>
      <c r="T49" s="320"/>
      <c r="U49" s="320"/>
      <c r="V49" s="664"/>
    </row>
    <row r="50" spans="1:22" ht="35.25" customHeight="1">
      <c r="A50" s="87">
        <v>1</v>
      </c>
      <c r="B50" s="666" t="str">
        <f>'приложение 7.1'!B52</f>
        <v>от КТПК №4  (с установкой КТПН), г. Мариинский Посад</v>
      </c>
      <c r="C50" s="52" t="s">
        <v>598</v>
      </c>
      <c r="D50" s="320" t="s">
        <v>598</v>
      </c>
      <c r="E50" s="320" t="s">
        <v>598</v>
      </c>
      <c r="F50" s="320" t="str">
        <f>'приложение 7.2'!AE51</f>
        <v>3,6 км</v>
      </c>
      <c r="G50" s="664" t="str">
        <f>F50</f>
        <v>3,6 км</v>
      </c>
      <c r="H50" s="52" t="s">
        <v>598</v>
      </c>
      <c r="I50" s="320" t="s">
        <v>598</v>
      </c>
      <c r="J50" s="320" t="s">
        <v>598</v>
      </c>
      <c r="K50" s="320" t="str">
        <f>F50</f>
        <v>3,6 км</v>
      </c>
      <c r="L50" s="664" t="str">
        <f>K50</f>
        <v>3,6 км</v>
      </c>
      <c r="M50" s="52" t="str">
        <f aca="true" t="shared" si="4" ref="M50:Q51">C50</f>
        <v>-</v>
      </c>
      <c r="N50" s="320" t="str">
        <f t="shared" si="4"/>
        <v>-</v>
      </c>
      <c r="O50" s="320" t="str">
        <f t="shared" si="4"/>
        <v>-</v>
      </c>
      <c r="P50" s="320" t="str">
        <f t="shared" si="4"/>
        <v>3,6 км</v>
      </c>
      <c r="Q50" s="664" t="str">
        <f t="shared" si="4"/>
        <v>3,6 км</v>
      </c>
      <c r="R50" s="52"/>
      <c r="S50" s="320"/>
      <c r="T50" s="320"/>
      <c r="U50" s="320" t="str">
        <f>P50</f>
        <v>3,6 км</v>
      </c>
      <c r="V50" s="664" t="str">
        <f>Q50</f>
        <v>3,6 км</v>
      </c>
    </row>
    <row r="51" spans="1:22" ht="35.25" customHeight="1">
      <c r="A51" s="87">
        <v>2</v>
      </c>
      <c r="B51" s="666" t="str">
        <f>'приложение 7.1'!B53</f>
        <v>от ТП-14 (с установкой КТПН) - 1 часть, г. Мариинский Посад</v>
      </c>
      <c r="C51" s="52" t="s">
        <v>598</v>
      </c>
      <c r="D51" s="320" t="s">
        <v>598</v>
      </c>
      <c r="E51" s="320" t="s">
        <v>598</v>
      </c>
      <c r="F51" s="320" t="str">
        <f>'приложение 7.2'!AE52</f>
        <v>2,2 км</v>
      </c>
      <c r="G51" s="664" t="str">
        <f>F51</f>
        <v>2,2 км</v>
      </c>
      <c r="H51" s="52" t="s">
        <v>598</v>
      </c>
      <c r="I51" s="320" t="s">
        <v>598</v>
      </c>
      <c r="J51" s="320" t="s">
        <v>598</v>
      </c>
      <c r="K51" s="320" t="str">
        <f>F51</f>
        <v>2,2 км</v>
      </c>
      <c r="L51" s="664" t="str">
        <f>G51</f>
        <v>2,2 км</v>
      </c>
      <c r="M51" s="52" t="str">
        <f t="shared" si="4"/>
        <v>-</v>
      </c>
      <c r="N51" s="320" t="str">
        <f t="shared" si="4"/>
        <v>-</v>
      </c>
      <c r="O51" s="320" t="str">
        <f t="shared" si="4"/>
        <v>-</v>
      </c>
      <c r="P51" s="320" t="str">
        <f t="shared" si="4"/>
        <v>2,2 км</v>
      </c>
      <c r="Q51" s="664" t="str">
        <f t="shared" si="4"/>
        <v>2,2 км</v>
      </c>
      <c r="R51" s="52"/>
      <c r="S51" s="320"/>
      <c r="T51" s="320"/>
      <c r="U51" s="320" t="str">
        <f>P51</f>
        <v>2,2 км</v>
      </c>
      <c r="V51" s="664" t="str">
        <f>Q51</f>
        <v>2,2 км</v>
      </c>
    </row>
    <row r="52" spans="1:22" ht="15.75">
      <c r="A52" s="87" t="s">
        <v>708</v>
      </c>
      <c r="B52" s="665" t="str">
        <f>'приложение 7.1'!B54</f>
        <v>КЛ-6-10 кВ</v>
      </c>
      <c r="C52" s="52"/>
      <c r="D52" s="320"/>
      <c r="E52" s="320"/>
      <c r="F52" s="320"/>
      <c r="G52" s="664"/>
      <c r="H52" s="834"/>
      <c r="I52" s="320"/>
      <c r="J52" s="320"/>
      <c r="K52" s="320"/>
      <c r="L52" s="320"/>
      <c r="M52" s="52"/>
      <c r="N52" s="320"/>
      <c r="O52" s="320"/>
      <c r="P52" s="320"/>
      <c r="Q52" s="664"/>
      <c r="R52" s="52"/>
      <c r="S52" s="320"/>
      <c r="T52" s="320"/>
      <c r="U52" s="320"/>
      <c r="V52" s="664"/>
    </row>
    <row r="53" spans="1:22" ht="15.75">
      <c r="A53" s="663" t="s">
        <v>892</v>
      </c>
      <c r="B53" s="665" t="str">
        <f>'приложение 7.1'!B55</f>
        <v>г.Чебоксары</v>
      </c>
      <c r="C53" s="52"/>
      <c r="D53" s="320"/>
      <c r="E53" s="320"/>
      <c r="F53" s="320"/>
      <c r="G53" s="664"/>
      <c r="H53" s="52"/>
      <c r="I53" s="320"/>
      <c r="J53" s="320"/>
      <c r="K53" s="320"/>
      <c r="L53" s="664"/>
      <c r="M53" s="52"/>
      <c r="N53" s="320"/>
      <c r="O53" s="320"/>
      <c r="P53" s="320"/>
      <c r="Q53" s="664"/>
      <c r="R53" s="52"/>
      <c r="S53" s="320"/>
      <c r="T53" s="320"/>
      <c r="U53" s="320"/>
      <c r="V53" s="664"/>
    </row>
    <row r="54" spans="1:22" ht="49.5" customHeight="1">
      <c r="A54" s="87">
        <v>1</v>
      </c>
      <c r="B54" s="666" t="str">
        <f>'приложение 7.1'!B56</f>
        <v>КЛ-6 кВ от ТП-542 до ТП-123 (разработка рабочей документации)</v>
      </c>
      <c r="C54" s="52" t="s">
        <v>598</v>
      </c>
      <c r="D54" s="320" t="s">
        <v>598</v>
      </c>
      <c r="E54" s="320" t="s">
        <v>598</v>
      </c>
      <c r="F54" s="320" t="s">
        <v>598</v>
      </c>
      <c r="G54" s="664" t="str">
        <f>F54</f>
        <v>-</v>
      </c>
      <c r="H54" s="52" t="s">
        <v>598</v>
      </c>
      <c r="I54" s="320" t="s">
        <v>598</v>
      </c>
      <c r="J54" s="320" t="s">
        <v>598</v>
      </c>
      <c r="K54" s="320" t="str">
        <f aca="true" t="shared" si="5" ref="K54:L56">F54</f>
        <v>-</v>
      </c>
      <c r="L54" s="664" t="str">
        <f t="shared" si="5"/>
        <v>-</v>
      </c>
      <c r="M54" s="52" t="str">
        <f aca="true" t="shared" si="6" ref="M54:Q56">C54</f>
        <v>-</v>
      </c>
      <c r="N54" s="320" t="str">
        <f t="shared" si="6"/>
        <v>-</v>
      </c>
      <c r="O54" s="320" t="str">
        <f t="shared" si="6"/>
        <v>-</v>
      </c>
      <c r="P54" s="320" t="str">
        <f t="shared" si="6"/>
        <v>-</v>
      </c>
      <c r="Q54" s="664" t="str">
        <f t="shared" si="6"/>
        <v>-</v>
      </c>
      <c r="R54" s="52"/>
      <c r="S54" s="320"/>
      <c r="T54" s="320"/>
      <c r="U54" s="320"/>
      <c r="V54" s="664"/>
    </row>
    <row r="55" spans="1:22" ht="49.5" customHeight="1">
      <c r="A55" s="87">
        <v>2</v>
      </c>
      <c r="B55" s="666" t="str">
        <f>'приложение 7.1'!B57</f>
        <v>КЛ-6 кВ  от ПС "Парковая" до РП-17 (перезаводка КЛ от ПС "ВНИИР"), разработка рабочей документации</v>
      </c>
      <c r="C55" s="52" t="s">
        <v>598</v>
      </c>
      <c r="D55" s="320" t="s">
        <v>598</v>
      </c>
      <c r="E55" s="320" t="s">
        <v>598</v>
      </c>
      <c r="F55" s="320" t="s">
        <v>598</v>
      </c>
      <c r="G55" s="664" t="str">
        <f>F55</f>
        <v>-</v>
      </c>
      <c r="H55" s="52" t="s">
        <v>598</v>
      </c>
      <c r="I55" s="320" t="s">
        <v>598</v>
      </c>
      <c r="J55" s="320" t="s">
        <v>598</v>
      </c>
      <c r="K55" s="320" t="str">
        <f t="shared" si="5"/>
        <v>-</v>
      </c>
      <c r="L55" s="664" t="str">
        <f t="shared" si="5"/>
        <v>-</v>
      </c>
      <c r="M55" s="52" t="str">
        <f t="shared" si="6"/>
        <v>-</v>
      </c>
      <c r="N55" s="320" t="str">
        <f t="shared" si="6"/>
        <v>-</v>
      </c>
      <c r="O55" s="320" t="str">
        <f t="shared" si="6"/>
        <v>-</v>
      </c>
      <c r="P55" s="320" t="str">
        <f t="shared" si="6"/>
        <v>-</v>
      </c>
      <c r="Q55" s="664" t="str">
        <f t="shared" si="6"/>
        <v>-</v>
      </c>
      <c r="R55" s="52"/>
      <c r="S55" s="320"/>
      <c r="T55" s="320"/>
      <c r="U55" s="320"/>
      <c r="V55" s="664"/>
    </row>
    <row r="56" spans="1:22" ht="49.5" customHeight="1">
      <c r="A56" s="87">
        <v>3</v>
      </c>
      <c r="B56" s="666" t="str">
        <f>'приложение 7.1'!B58</f>
        <v>КЛ-6 кВ  от КТПН по ул.Пристанционная до опоры ВЛ от РП-17 (изменение точки присоединения), разработка рабочей документации</v>
      </c>
      <c r="C56" s="52" t="s">
        <v>598</v>
      </c>
      <c r="D56" s="320" t="s">
        <v>598</v>
      </c>
      <c r="E56" s="320" t="s">
        <v>598</v>
      </c>
      <c r="F56" s="320" t="s">
        <v>598</v>
      </c>
      <c r="G56" s="664" t="str">
        <f>F56</f>
        <v>-</v>
      </c>
      <c r="H56" s="52" t="s">
        <v>598</v>
      </c>
      <c r="I56" s="320" t="s">
        <v>598</v>
      </c>
      <c r="J56" s="320" t="s">
        <v>598</v>
      </c>
      <c r="K56" s="320" t="str">
        <f t="shared" si="5"/>
        <v>-</v>
      </c>
      <c r="L56" s="664" t="str">
        <f t="shared" si="5"/>
        <v>-</v>
      </c>
      <c r="M56" s="52" t="str">
        <f t="shared" si="6"/>
        <v>-</v>
      </c>
      <c r="N56" s="320" t="str">
        <f t="shared" si="6"/>
        <v>-</v>
      </c>
      <c r="O56" s="320" t="str">
        <f t="shared" si="6"/>
        <v>-</v>
      </c>
      <c r="P56" s="320" t="str">
        <f t="shared" si="6"/>
        <v>-</v>
      </c>
      <c r="Q56" s="664" t="str">
        <f t="shared" si="6"/>
        <v>-</v>
      </c>
      <c r="R56" s="52"/>
      <c r="S56" s="320"/>
      <c r="T56" s="320"/>
      <c r="U56" s="320"/>
      <c r="V56" s="664"/>
    </row>
    <row r="57" spans="1:22" ht="15.75">
      <c r="A57" s="663" t="s">
        <v>893</v>
      </c>
      <c r="B57" s="665" t="str">
        <f>'приложение 7.1'!B59</f>
        <v>г.Цивильск</v>
      </c>
      <c r="C57" s="52"/>
      <c r="D57" s="320"/>
      <c r="E57" s="320"/>
      <c r="F57" s="320"/>
      <c r="G57" s="664"/>
      <c r="H57" s="52"/>
      <c r="I57" s="320"/>
      <c r="J57" s="320"/>
      <c r="K57" s="320"/>
      <c r="L57" s="664"/>
      <c r="M57" s="52"/>
      <c r="N57" s="320"/>
      <c r="O57" s="320"/>
      <c r="P57" s="320"/>
      <c r="Q57" s="664"/>
      <c r="R57" s="52"/>
      <c r="S57" s="320"/>
      <c r="T57" s="320"/>
      <c r="U57" s="320"/>
      <c r="V57" s="664"/>
    </row>
    <row r="58" spans="1:22" ht="62.25" customHeight="1">
      <c r="A58" s="87">
        <v>1</v>
      </c>
      <c r="B58" s="666" t="str">
        <f>'приложение 7.1'!B60</f>
        <v>Замена ВЛ-10 кВ от ПС "Цивильская" на КЛ-10 кВ линия №38 и резервирование РП-1 по ул.Никитина, 6В </v>
      </c>
      <c r="C58" s="52" t="s">
        <v>598</v>
      </c>
      <c r="D58" s="320" t="s">
        <v>598</v>
      </c>
      <c r="E58" s="320" t="s">
        <v>598</v>
      </c>
      <c r="F58" s="320" t="str">
        <f>'приложение 7.2'!AE59</f>
        <v>2х0,25 км</v>
      </c>
      <c r="G58" s="664" t="str">
        <f>F58</f>
        <v>2х0,25 км</v>
      </c>
      <c r="H58" s="52" t="s">
        <v>598</v>
      </c>
      <c r="I58" s="320" t="s">
        <v>598</v>
      </c>
      <c r="J58" s="320" t="s">
        <v>598</v>
      </c>
      <c r="K58" s="320" t="str">
        <f>F58</f>
        <v>2х0,25 км</v>
      </c>
      <c r="L58" s="664" t="str">
        <f>G58</f>
        <v>2х0,25 км</v>
      </c>
      <c r="M58" s="52" t="str">
        <f aca="true" t="shared" si="7" ref="M58:Q59">C58</f>
        <v>-</v>
      </c>
      <c r="N58" s="320" t="str">
        <f t="shared" si="7"/>
        <v>-</v>
      </c>
      <c r="O58" s="320" t="str">
        <f t="shared" si="7"/>
        <v>-</v>
      </c>
      <c r="P58" s="320" t="str">
        <f t="shared" si="7"/>
        <v>2х0,25 км</v>
      </c>
      <c r="Q58" s="664" t="str">
        <f t="shared" si="7"/>
        <v>2х0,25 км</v>
      </c>
      <c r="R58" s="52"/>
      <c r="S58" s="320"/>
      <c r="T58" s="320"/>
      <c r="U58" s="320" t="str">
        <f>P58</f>
        <v>2х0,25 км</v>
      </c>
      <c r="V58" s="664" t="str">
        <f>Q58</f>
        <v>2х0,25 км</v>
      </c>
    </row>
    <row r="59" spans="1:22" ht="62.25" customHeight="1">
      <c r="A59" s="87">
        <v>2</v>
      </c>
      <c r="B59" s="666" t="str">
        <f>'приложение 7.1'!B61</f>
        <v>КЛ-10 кВ от ПС "Цивильская" до ТП-11 водозабор (Л-36,25), разработка рабочей документации</v>
      </c>
      <c r="C59" s="52" t="s">
        <v>598</v>
      </c>
      <c r="D59" s="320" t="s">
        <v>598</v>
      </c>
      <c r="E59" s="320" t="s">
        <v>598</v>
      </c>
      <c r="F59" s="320" t="s">
        <v>598</v>
      </c>
      <c r="G59" s="664" t="str">
        <f>F59</f>
        <v>-</v>
      </c>
      <c r="H59" s="52" t="s">
        <v>598</v>
      </c>
      <c r="I59" s="320" t="s">
        <v>598</v>
      </c>
      <c r="J59" s="320" t="s">
        <v>598</v>
      </c>
      <c r="K59" s="320" t="str">
        <f>F59</f>
        <v>-</v>
      </c>
      <c r="L59" s="664" t="str">
        <f>G59</f>
        <v>-</v>
      </c>
      <c r="M59" s="52" t="str">
        <f t="shared" si="7"/>
        <v>-</v>
      </c>
      <c r="N59" s="320" t="str">
        <f t="shared" si="7"/>
        <v>-</v>
      </c>
      <c r="O59" s="320" t="str">
        <f t="shared" si="7"/>
        <v>-</v>
      </c>
      <c r="P59" s="320" t="str">
        <f t="shared" si="7"/>
        <v>-</v>
      </c>
      <c r="Q59" s="664" t="str">
        <f t="shared" si="7"/>
        <v>-</v>
      </c>
      <c r="R59" s="52"/>
      <c r="S59" s="320"/>
      <c r="T59" s="320"/>
      <c r="U59" s="320"/>
      <c r="V59" s="664"/>
    </row>
    <row r="60" spans="1:22" ht="15.75">
      <c r="A60" s="87" t="s">
        <v>709</v>
      </c>
      <c r="B60" s="665" t="str">
        <f>'приложение 7.1'!B62</f>
        <v>КЛ-0,4 кВ</v>
      </c>
      <c r="C60" s="52"/>
      <c r="D60" s="320"/>
      <c r="E60" s="320"/>
      <c r="F60" s="320"/>
      <c r="G60" s="664"/>
      <c r="H60" s="834"/>
      <c r="I60" s="320"/>
      <c r="J60" s="320"/>
      <c r="K60" s="320"/>
      <c r="L60" s="320"/>
      <c r="M60" s="52"/>
      <c r="N60" s="320"/>
      <c r="O60" s="320"/>
      <c r="P60" s="320"/>
      <c r="Q60" s="664"/>
      <c r="R60" s="52"/>
      <c r="S60" s="320"/>
      <c r="T60" s="320"/>
      <c r="U60" s="320"/>
      <c r="V60" s="664"/>
    </row>
    <row r="61" spans="1:22" ht="15.75">
      <c r="A61" s="663" t="s">
        <v>894</v>
      </c>
      <c r="B61" s="665" t="str">
        <f>'приложение 7.1'!B63</f>
        <v>г.Чебоксары</v>
      </c>
      <c r="C61" s="52"/>
      <c r="D61" s="320"/>
      <c r="E61" s="320"/>
      <c r="F61" s="320"/>
      <c r="G61" s="664"/>
      <c r="H61" s="52"/>
      <c r="I61" s="320"/>
      <c r="J61" s="320"/>
      <c r="K61" s="320"/>
      <c r="L61" s="664"/>
      <c r="M61" s="52"/>
      <c r="N61" s="320"/>
      <c r="O61" s="320"/>
      <c r="P61" s="320"/>
      <c r="Q61" s="664"/>
      <c r="R61" s="52"/>
      <c r="S61" s="320"/>
      <c r="T61" s="320"/>
      <c r="U61" s="320"/>
      <c r="V61" s="664"/>
    </row>
    <row r="62" spans="1:22" ht="33" customHeight="1">
      <c r="A62" s="87">
        <v>1</v>
      </c>
      <c r="B62" s="666" t="str">
        <f>'приложение 7.1'!B64</f>
        <v>ТП-300 ул.Хузангая,4А</v>
      </c>
      <c r="C62" s="52" t="s">
        <v>598</v>
      </c>
      <c r="D62" s="320" t="s">
        <v>598</v>
      </c>
      <c r="E62" s="320" t="s">
        <v>598</v>
      </c>
      <c r="F62" s="320" t="str">
        <f>'приложение 7.2'!AE63</f>
        <v>1,53 км</v>
      </c>
      <c r="G62" s="664" t="str">
        <f aca="true" t="shared" si="8" ref="G62:G74">F62</f>
        <v>1,53 км</v>
      </c>
      <c r="H62" s="52" t="s">
        <v>598</v>
      </c>
      <c r="I62" s="320" t="s">
        <v>598</v>
      </c>
      <c r="J62" s="320" t="s">
        <v>598</v>
      </c>
      <c r="K62" s="320" t="str">
        <f>F62</f>
        <v>1,53 км</v>
      </c>
      <c r="L62" s="664" t="str">
        <f>K62</f>
        <v>1,53 км</v>
      </c>
      <c r="M62" s="52" t="str">
        <f aca="true" t="shared" si="9" ref="M62:M67">C62</f>
        <v>-</v>
      </c>
      <c r="N62" s="320" t="str">
        <f aca="true" t="shared" si="10" ref="N62:N67">D62</f>
        <v>-</v>
      </c>
      <c r="O62" s="320" t="str">
        <f aca="true" t="shared" si="11" ref="O62:O67">E62</f>
        <v>-</v>
      </c>
      <c r="P62" s="320" t="str">
        <f aca="true" t="shared" si="12" ref="P62:P67">F62</f>
        <v>1,53 км</v>
      </c>
      <c r="Q62" s="664" t="str">
        <f aca="true" t="shared" si="13" ref="Q62:Q67">G62</f>
        <v>1,53 км</v>
      </c>
      <c r="R62" s="52"/>
      <c r="S62" s="320"/>
      <c r="T62" s="320"/>
      <c r="U62" s="320" t="str">
        <f>P62</f>
        <v>1,53 км</v>
      </c>
      <c r="V62" s="664" t="str">
        <f>Q62</f>
        <v>1,53 км</v>
      </c>
    </row>
    <row r="63" spans="1:22" ht="36" customHeight="1">
      <c r="A63" s="87">
        <v>2</v>
      </c>
      <c r="B63" s="666" t="str">
        <f>'приложение 7.1'!B65</f>
        <v>ТП-222 (2 этап) пр. Московский, 42 А</v>
      </c>
      <c r="C63" s="52" t="s">
        <v>598</v>
      </c>
      <c r="D63" s="320" t="s">
        <v>598</v>
      </c>
      <c r="E63" s="320" t="s">
        <v>598</v>
      </c>
      <c r="F63" s="320" t="str">
        <f>'приложение 7.2'!AE64</f>
        <v>1,208 км</v>
      </c>
      <c r="G63" s="664" t="str">
        <f t="shared" si="8"/>
        <v>1,208 км</v>
      </c>
      <c r="H63" s="52" t="s">
        <v>598</v>
      </c>
      <c r="I63" s="320" t="s">
        <v>598</v>
      </c>
      <c r="J63" s="320" t="s">
        <v>598</v>
      </c>
      <c r="K63" s="320" t="str">
        <f>F63</f>
        <v>1,208 км</v>
      </c>
      <c r="L63" s="664" t="str">
        <f>G63</f>
        <v>1,208 км</v>
      </c>
      <c r="M63" s="52" t="str">
        <f t="shared" si="9"/>
        <v>-</v>
      </c>
      <c r="N63" s="320" t="str">
        <f t="shared" si="10"/>
        <v>-</v>
      </c>
      <c r="O63" s="320" t="str">
        <f t="shared" si="11"/>
        <v>-</v>
      </c>
      <c r="P63" s="320" t="str">
        <f t="shared" si="12"/>
        <v>1,208 км</v>
      </c>
      <c r="Q63" s="664" t="str">
        <f t="shared" si="13"/>
        <v>1,208 км</v>
      </c>
      <c r="R63" s="52"/>
      <c r="S63" s="320"/>
      <c r="T63" s="320"/>
      <c r="U63" s="320" t="str">
        <f>P63</f>
        <v>1,208 км</v>
      </c>
      <c r="V63" s="664" t="str">
        <f>Q63</f>
        <v>1,208 км</v>
      </c>
    </row>
    <row r="64" spans="1:22" ht="33.75" customHeight="1">
      <c r="A64" s="87">
        <v>3</v>
      </c>
      <c r="B64" s="666" t="str">
        <f>'приложение 7.1'!B66</f>
        <v>ТП-303 (2 этап) пр. 9ой Пятилетки, 3 Б</v>
      </c>
      <c r="C64" s="52" t="s">
        <v>598</v>
      </c>
      <c r="D64" s="320" t="s">
        <v>598</v>
      </c>
      <c r="E64" s="320" t="s">
        <v>598</v>
      </c>
      <c r="F64" s="320" t="str">
        <f>'приложение 7.2'!AE65</f>
        <v>2,18 км</v>
      </c>
      <c r="G64" s="664" t="str">
        <f t="shared" si="8"/>
        <v>2,18 км</v>
      </c>
      <c r="H64" s="52" t="s">
        <v>598</v>
      </c>
      <c r="I64" s="320" t="s">
        <v>598</v>
      </c>
      <c r="J64" s="320" t="str">
        <f>F64</f>
        <v>2,18 км</v>
      </c>
      <c r="K64" s="320" t="s">
        <v>598</v>
      </c>
      <c r="L64" s="664" t="str">
        <f>G64</f>
        <v>2,18 км</v>
      </c>
      <c r="M64" s="52" t="str">
        <f t="shared" si="9"/>
        <v>-</v>
      </c>
      <c r="N64" s="320" t="str">
        <f t="shared" si="10"/>
        <v>-</v>
      </c>
      <c r="O64" s="320" t="str">
        <f t="shared" si="11"/>
        <v>-</v>
      </c>
      <c r="P64" s="320" t="str">
        <f t="shared" si="12"/>
        <v>2,18 км</v>
      </c>
      <c r="Q64" s="664" t="str">
        <f t="shared" si="13"/>
        <v>2,18 км</v>
      </c>
      <c r="R64" s="52" t="s">
        <v>598</v>
      </c>
      <c r="S64" s="320" t="s">
        <v>598</v>
      </c>
      <c r="T64" s="320" t="str">
        <f>J64</f>
        <v>2,18 км</v>
      </c>
      <c r="U64" s="320" t="s">
        <v>598</v>
      </c>
      <c r="V64" s="664" t="str">
        <f>L64</f>
        <v>2,18 км</v>
      </c>
    </row>
    <row r="65" spans="1:22" ht="50.25" customHeight="1">
      <c r="A65" s="87">
        <v>4</v>
      </c>
      <c r="B65" s="666" t="str">
        <f>'приложение 7.1'!B67</f>
        <v>ТП-357 ул. Эгерский б-р, 28а, г.Чебоксары, (разработка рабочей документации)</v>
      </c>
      <c r="C65" s="52" t="s">
        <v>598</v>
      </c>
      <c r="D65" s="320" t="s">
        <v>598</v>
      </c>
      <c r="E65" s="320" t="s">
        <v>598</v>
      </c>
      <c r="F65" s="320" t="s">
        <v>598</v>
      </c>
      <c r="G65" s="664" t="str">
        <f t="shared" si="8"/>
        <v>-</v>
      </c>
      <c r="H65" s="52" t="s">
        <v>598</v>
      </c>
      <c r="I65" s="320" t="s">
        <v>598</v>
      </c>
      <c r="J65" s="320" t="s">
        <v>598</v>
      </c>
      <c r="K65" s="320" t="str">
        <f aca="true" t="shared" si="14" ref="K65:L69">F65</f>
        <v>-</v>
      </c>
      <c r="L65" s="664" t="str">
        <f t="shared" si="14"/>
        <v>-</v>
      </c>
      <c r="M65" s="52" t="str">
        <f t="shared" si="9"/>
        <v>-</v>
      </c>
      <c r="N65" s="320" t="str">
        <f t="shared" si="10"/>
        <v>-</v>
      </c>
      <c r="O65" s="320" t="str">
        <f t="shared" si="11"/>
        <v>-</v>
      </c>
      <c r="P65" s="320" t="str">
        <f t="shared" si="12"/>
        <v>-</v>
      </c>
      <c r="Q65" s="664" t="str">
        <f t="shared" si="13"/>
        <v>-</v>
      </c>
      <c r="R65" s="52"/>
      <c r="S65" s="320"/>
      <c r="T65" s="320"/>
      <c r="U65" s="320"/>
      <c r="V65" s="664"/>
    </row>
    <row r="66" spans="1:22" ht="48.75" customHeight="1">
      <c r="A66" s="87">
        <v>5</v>
      </c>
      <c r="B66" s="666" t="str">
        <f>'приложение 7.1'!B68</f>
        <v>РП-18 ул. Шумилова, 18Б, г.Чебоксары (разработка рабочей документации)</v>
      </c>
      <c r="C66" s="52" t="s">
        <v>598</v>
      </c>
      <c r="D66" s="320" t="s">
        <v>598</v>
      </c>
      <c r="E66" s="320" t="s">
        <v>598</v>
      </c>
      <c r="F66" s="320" t="s">
        <v>598</v>
      </c>
      <c r="G66" s="664" t="str">
        <f t="shared" si="8"/>
        <v>-</v>
      </c>
      <c r="H66" s="52" t="s">
        <v>598</v>
      </c>
      <c r="I66" s="320" t="s">
        <v>598</v>
      </c>
      <c r="J66" s="320" t="s">
        <v>598</v>
      </c>
      <c r="K66" s="320" t="str">
        <f t="shared" si="14"/>
        <v>-</v>
      </c>
      <c r="L66" s="664" t="str">
        <f t="shared" si="14"/>
        <v>-</v>
      </c>
      <c r="M66" s="52" t="str">
        <f t="shared" si="9"/>
        <v>-</v>
      </c>
      <c r="N66" s="320" t="str">
        <f t="shared" si="10"/>
        <v>-</v>
      </c>
      <c r="O66" s="320" t="str">
        <f t="shared" si="11"/>
        <v>-</v>
      </c>
      <c r="P66" s="320" t="str">
        <f t="shared" si="12"/>
        <v>-</v>
      </c>
      <c r="Q66" s="664" t="str">
        <f t="shared" si="13"/>
        <v>-</v>
      </c>
      <c r="R66" s="52"/>
      <c r="S66" s="320"/>
      <c r="T66" s="320"/>
      <c r="U66" s="320"/>
      <c r="V66" s="664"/>
    </row>
    <row r="67" spans="1:22" ht="50.25" customHeight="1">
      <c r="A67" s="87">
        <v>6</v>
      </c>
      <c r="B67" s="666" t="str">
        <f>'приложение 7.1'!B69</f>
        <v>РП-10 до ж/д 12,14,16 по ул. Николаева, г.Чебоксары, (разработка рабочей документации)</v>
      </c>
      <c r="C67" s="52" t="s">
        <v>598</v>
      </c>
      <c r="D67" s="320" t="s">
        <v>598</v>
      </c>
      <c r="E67" s="320" t="s">
        <v>598</v>
      </c>
      <c r="F67" s="320" t="s">
        <v>598</v>
      </c>
      <c r="G67" s="664" t="str">
        <f t="shared" si="8"/>
        <v>-</v>
      </c>
      <c r="H67" s="52" t="s">
        <v>598</v>
      </c>
      <c r="I67" s="320" t="s">
        <v>598</v>
      </c>
      <c r="J67" s="320" t="s">
        <v>598</v>
      </c>
      <c r="K67" s="320" t="str">
        <f t="shared" si="14"/>
        <v>-</v>
      </c>
      <c r="L67" s="664" t="str">
        <f t="shared" si="14"/>
        <v>-</v>
      </c>
      <c r="M67" s="52" t="str">
        <f t="shared" si="9"/>
        <v>-</v>
      </c>
      <c r="N67" s="320" t="str">
        <f t="shared" si="10"/>
        <v>-</v>
      </c>
      <c r="O67" s="320" t="str">
        <f t="shared" si="11"/>
        <v>-</v>
      </c>
      <c r="P67" s="320" t="str">
        <f t="shared" si="12"/>
        <v>-</v>
      </c>
      <c r="Q67" s="664" t="str">
        <f t="shared" si="13"/>
        <v>-</v>
      </c>
      <c r="R67" s="52"/>
      <c r="S67" s="320"/>
      <c r="T67" s="320"/>
      <c r="U67" s="320"/>
      <c r="V67" s="664"/>
    </row>
    <row r="68" spans="1:22" ht="50.25" customHeight="1">
      <c r="A68" s="87">
        <v>7</v>
      </c>
      <c r="B68" s="666" t="str">
        <f>'приложение 7.1'!B70</f>
        <v>Реконструкция КЛ-0,4 кВ от ТП-301, г.Чебоксары (2013г.)</v>
      </c>
      <c r="C68" s="52" t="s">
        <v>598</v>
      </c>
      <c r="D68" s="320" t="s">
        <v>598</v>
      </c>
      <c r="E68" s="320" t="s">
        <v>598</v>
      </c>
      <c r="F68" s="320" t="s">
        <v>598</v>
      </c>
      <c r="G68" s="664" t="str">
        <f>F68</f>
        <v>-</v>
      </c>
      <c r="H68" s="52" t="s">
        <v>598</v>
      </c>
      <c r="I68" s="320" t="s">
        <v>598</v>
      </c>
      <c r="J68" s="320" t="s">
        <v>598</v>
      </c>
      <c r="K68" s="320" t="str">
        <f t="shared" si="14"/>
        <v>-</v>
      </c>
      <c r="L68" s="664" t="str">
        <f t="shared" si="14"/>
        <v>-</v>
      </c>
      <c r="M68" s="52" t="str">
        <f aca="true" t="shared" si="15" ref="M68:Q69">C68</f>
        <v>-</v>
      </c>
      <c r="N68" s="320" t="str">
        <f t="shared" si="15"/>
        <v>-</v>
      </c>
      <c r="O68" s="320" t="str">
        <f t="shared" si="15"/>
        <v>-</v>
      </c>
      <c r="P68" s="320" t="str">
        <f t="shared" si="15"/>
        <v>-</v>
      </c>
      <c r="Q68" s="664" t="str">
        <f t="shared" si="15"/>
        <v>-</v>
      </c>
      <c r="R68" s="52"/>
      <c r="S68" s="320"/>
      <c r="T68" s="320"/>
      <c r="U68" s="320"/>
      <c r="V68" s="664"/>
    </row>
    <row r="69" spans="1:22" ht="50.25" customHeight="1">
      <c r="A69" s="87">
        <v>8</v>
      </c>
      <c r="B69" s="666" t="str">
        <f>'приложение 7.1'!B71</f>
        <v>Реконструкция КЛ-0,4 кВ от ТП-302, г.Чебоксары (2013г.)</v>
      </c>
      <c r="C69" s="52" t="s">
        <v>598</v>
      </c>
      <c r="D69" s="320" t="s">
        <v>598</v>
      </c>
      <c r="E69" s="320" t="s">
        <v>598</v>
      </c>
      <c r="F69" s="320" t="s">
        <v>598</v>
      </c>
      <c r="G69" s="664" t="str">
        <f>F69</f>
        <v>-</v>
      </c>
      <c r="H69" s="52" t="s">
        <v>598</v>
      </c>
      <c r="I69" s="320" t="s">
        <v>598</v>
      </c>
      <c r="J69" s="320" t="s">
        <v>598</v>
      </c>
      <c r="K69" s="320" t="str">
        <f t="shared" si="14"/>
        <v>-</v>
      </c>
      <c r="L69" s="664" t="str">
        <f t="shared" si="14"/>
        <v>-</v>
      </c>
      <c r="M69" s="52" t="str">
        <f t="shared" si="15"/>
        <v>-</v>
      </c>
      <c r="N69" s="320" t="str">
        <f t="shared" si="15"/>
        <v>-</v>
      </c>
      <c r="O69" s="320" t="str">
        <f t="shared" si="15"/>
        <v>-</v>
      </c>
      <c r="P69" s="320" t="str">
        <f t="shared" si="15"/>
        <v>-</v>
      </c>
      <c r="Q69" s="664" t="str">
        <f t="shared" si="15"/>
        <v>-</v>
      </c>
      <c r="R69" s="52"/>
      <c r="S69" s="320"/>
      <c r="T69" s="320"/>
      <c r="U69" s="320"/>
      <c r="V69" s="664"/>
    </row>
    <row r="70" spans="1:22" ht="90" customHeight="1">
      <c r="A70" s="87">
        <v>9</v>
      </c>
      <c r="B70" s="666" t="str">
        <f>'приложение 7.1'!B72</f>
        <v>Реконструкция КЛ-0,4 кВ от под №2 и под №6 ж/д №16 по ул.Лен. Комсомола до нежилогопомещения №1 ж/д №16 по ул.Лен.Комсомола (ТП-308)</v>
      </c>
      <c r="C70" s="52" t="s">
        <v>598</v>
      </c>
      <c r="D70" s="320" t="s">
        <v>598</v>
      </c>
      <c r="E70" s="320" t="s">
        <v>598</v>
      </c>
      <c r="F70" s="320" t="s">
        <v>598</v>
      </c>
      <c r="G70" s="664" t="str">
        <f>F70</f>
        <v>-</v>
      </c>
      <c r="H70" s="52" t="s">
        <v>598</v>
      </c>
      <c r="I70" s="320" t="s">
        <v>598</v>
      </c>
      <c r="J70" s="320" t="s">
        <v>598</v>
      </c>
      <c r="K70" s="320" t="str">
        <f aca="true" t="shared" si="16" ref="K70:L72">F70</f>
        <v>-</v>
      </c>
      <c r="L70" s="664" t="str">
        <f t="shared" si="16"/>
        <v>-</v>
      </c>
      <c r="M70" s="52" t="str">
        <f aca="true" t="shared" si="17" ref="M70:Q72">C70</f>
        <v>-</v>
      </c>
      <c r="N70" s="320" t="str">
        <f t="shared" si="17"/>
        <v>-</v>
      </c>
      <c r="O70" s="320" t="str">
        <f t="shared" si="17"/>
        <v>-</v>
      </c>
      <c r="P70" s="320" t="str">
        <f t="shared" si="17"/>
        <v>-</v>
      </c>
      <c r="Q70" s="664" t="str">
        <f t="shared" si="17"/>
        <v>-</v>
      </c>
      <c r="R70" s="52"/>
      <c r="S70" s="320"/>
      <c r="T70" s="320"/>
      <c r="U70" s="320"/>
      <c r="V70" s="664"/>
    </row>
    <row r="71" spans="1:22" ht="92.25" customHeight="1">
      <c r="A71" s="87">
        <v>10</v>
      </c>
      <c r="B71" s="666" t="str">
        <f>'приложение 7.1'!B73</f>
        <v>Реконструкция КЛ-0,4 кВ от ТП-292 до шкафа, проектирумого с наружней стороны гаражного бокса №57 по Базовому пр. д.6</v>
      </c>
      <c r="C71" s="52" t="s">
        <v>598</v>
      </c>
      <c r="D71" s="320" t="s">
        <v>598</v>
      </c>
      <c r="E71" s="320" t="s">
        <v>598</v>
      </c>
      <c r="F71" s="320" t="s">
        <v>598</v>
      </c>
      <c r="G71" s="664" t="str">
        <f>F71</f>
        <v>-</v>
      </c>
      <c r="H71" s="52" t="s">
        <v>598</v>
      </c>
      <c r="I71" s="320" t="s">
        <v>598</v>
      </c>
      <c r="J71" s="320" t="s">
        <v>598</v>
      </c>
      <c r="K71" s="320" t="str">
        <f t="shared" si="16"/>
        <v>-</v>
      </c>
      <c r="L71" s="664" t="str">
        <f t="shared" si="16"/>
        <v>-</v>
      </c>
      <c r="M71" s="52" t="str">
        <f t="shared" si="17"/>
        <v>-</v>
      </c>
      <c r="N71" s="320" t="str">
        <f t="shared" si="17"/>
        <v>-</v>
      </c>
      <c r="O71" s="320" t="str">
        <f t="shared" si="17"/>
        <v>-</v>
      </c>
      <c r="P71" s="320" t="str">
        <f t="shared" si="17"/>
        <v>-</v>
      </c>
      <c r="Q71" s="664" t="str">
        <f t="shared" si="17"/>
        <v>-</v>
      </c>
      <c r="R71" s="52"/>
      <c r="S71" s="320"/>
      <c r="T71" s="320"/>
      <c r="U71" s="320"/>
      <c r="V71" s="664"/>
    </row>
    <row r="72" spans="1:22" ht="72.75" customHeight="1">
      <c r="A72" s="87">
        <v>11</v>
      </c>
      <c r="B72" s="666" t="str">
        <f>'приложение 7.1'!B74</f>
        <v>Реконструкция КЛ-0,4 кВ от ТП-127 до шкафа, проектирумого с наружней стороны гаражного бокса по ул.Декабристов, д.8 "Б"</v>
      </c>
      <c r="C72" s="52" t="s">
        <v>598</v>
      </c>
      <c r="D72" s="320" t="s">
        <v>598</v>
      </c>
      <c r="E72" s="320" t="s">
        <v>598</v>
      </c>
      <c r="F72" s="320" t="s">
        <v>598</v>
      </c>
      <c r="G72" s="664" t="str">
        <f>F72</f>
        <v>-</v>
      </c>
      <c r="H72" s="52" t="s">
        <v>598</v>
      </c>
      <c r="I72" s="320" t="s">
        <v>598</v>
      </c>
      <c r="J72" s="320" t="s">
        <v>598</v>
      </c>
      <c r="K72" s="320" t="str">
        <f t="shared" si="16"/>
        <v>-</v>
      </c>
      <c r="L72" s="664" t="str">
        <f t="shared" si="16"/>
        <v>-</v>
      </c>
      <c r="M72" s="52" t="str">
        <f t="shared" si="17"/>
        <v>-</v>
      </c>
      <c r="N72" s="320" t="str">
        <f t="shared" si="17"/>
        <v>-</v>
      </c>
      <c r="O72" s="320" t="str">
        <f t="shared" si="17"/>
        <v>-</v>
      </c>
      <c r="P72" s="320" t="str">
        <f t="shared" si="17"/>
        <v>-</v>
      </c>
      <c r="Q72" s="664" t="str">
        <f t="shared" si="17"/>
        <v>-</v>
      </c>
      <c r="R72" s="52"/>
      <c r="S72" s="320"/>
      <c r="T72" s="320"/>
      <c r="U72" s="320"/>
      <c r="V72" s="664"/>
    </row>
    <row r="73" spans="1:22" ht="15.75">
      <c r="A73" s="663" t="s">
        <v>895</v>
      </c>
      <c r="B73" s="665" t="str">
        <f>'приложение 7.1'!B75</f>
        <v>г.Цивильск</v>
      </c>
      <c r="C73" s="52"/>
      <c r="D73" s="320"/>
      <c r="E73" s="320"/>
      <c r="F73" s="320"/>
      <c r="G73" s="664"/>
      <c r="H73" s="52"/>
      <c r="I73" s="320"/>
      <c r="J73" s="320"/>
      <c r="K73" s="320"/>
      <c r="L73" s="664"/>
      <c r="M73" s="52"/>
      <c r="N73" s="320"/>
      <c r="O73" s="320"/>
      <c r="P73" s="320"/>
      <c r="Q73" s="664"/>
      <c r="R73" s="52"/>
      <c r="S73" s="320"/>
      <c r="T73" s="320"/>
      <c r="U73" s="320"/>
      <c r="V73" s="664"/>
    </row>
    <row r="74" spans="1:22" ht="33.75" customHeight="1">
      <c r="A74" s="87">
        <v>1</v>
      </c>
      <c r="B74" s="666" t="str">
        <f>'приложение 7.1'!B76</f>
        <v>ТП-27 (перезаводка КЛ), г.Цивильск</v>
      </c>
      <c r="C74" s="52" t="s">
        <v>598</v>
      </c>
      <c r="D74" s="320" t="s">
        <v>598</v>
      </c>
      <c r="E74" s="320" t="s">
        <v>598</v>
      </c>
      <c r="F74" s="320" t="str">
        <f>'приложение 7.2'!AE75</f>
        <v>1,37 км</v>
      </c>
      <c r="G74" s="664" t="str">
        <f t="shared" si="8"/>
        <v>1,37 км</v>
      </c>
      <c r="H74" s="52" t="s">
        <v>598</v>
      </c>
      <c r="I74" s="320" t="s">
        <v>598</v>
      </c>
      <c r="J74" s="320" t="s">
        <v>598</v>
      </c>
      <c r="K74" s="320" t="str">
        <f>F74</f>
        <v>1,37 км</v>
      </c>
      <c r="L74" s="664" t="str">
        <f>K74</f>
        <v>1,37 км</v>
      </c>
      <c r="M74" s="52" t="str">
        <f>C74</f>
        <v>-</v>
      </c>
      <c r="N74" s="320" t="str">
        <f>D74</f>
        <v>-</v>
      </c>
      <c r="O74" s="320" t="str">
        <f>E74</f>
        <v>-</v>
      </c>
      <c r="P74" s="320" t="str">
        <f>F74</f>
        <v>1,37 км</v>
      </c>
      <c r="Q74" s="664" t="str">
        <f>G74</f>
        <v>1,37 км</v>
      </c>
      <c r="R74" s="52"/>
      <c r="S74" s="320"/>
      <c r="T74" s="320"/>
      <c r="U74" s="320" t="str">
        <f>P74</f>
        <v>1,37 км</v>
      </c>
      <c r="V74" s="664" t="str">
        <f>Q74</f>
        <v>1,37 км</v>
      </c>
    </row>
    <row r="75" spans="1:22" ht="15.75">
      <c r="A75" s="87" t="s">
        <v>818</v>
      </c>
      <c r="B75" s="665" t="str">
        <f>'приложение 7.1'!B77</f>
        <v>РП-6-10 кВ</v>
      </c>
      <c r="C75" s="52"/>
      <c r="D75" s="320"/>
      <c r="E75" s="320"/>
      <c r="F75" s="320"/>
      <c r="G75" s="664"/>
      <c r="H75" s="834"/>
      <c r="I75" s="320"/>
      <c r="J75" s="320"/>
      <c r="K75" s="320"/>
      <c r="L75" s="320"/>
      <c r="M75" s="52"/>
      <c r="N75" s="320"/>
      <c r="O75" s="320"/>
      <c r="P75" s="320"/>
      <c r="Q75" s="664"/>
      <c r="R75" s="52"/>
      <c r="S75" s="320"/>
      <c r="T75" s="320"/>
      <c r="U75" s="320"/>
      <c r="V75" s="664"/>
    </row>
    <row r="76" spans="1:22" ht="15.75">
      <c r="A76" s="663" t="s">
        <v>896</v>
      </c>
      <c r="B76" s="665" t="str">
        <f>'приложение 7.1'!B78</f>
        <v>г.Чебоксары</v>
      </c>
      <c r="C76" s="52"/>
      <c r="D76" s="320"/>
      <c r="E76" s="320"/>
      <c r="F76" s="320"/>
      <c r="G76" s="664"/>
      <c r="H76" s="52"/>
      <c r="I76" s="320"/>
      <c r="J76" s="320"/>
      <c r="K76" s="320"/>
      <c r="L76" s="320"/>
      <c r="M76" s="52"/>
      <c r="N76" s="320"/>
      <c r="O76" s="320"/>
      <c r="P76" s="320"/>
      <c r="Q76" s="664"/>
      <c r="R76" s="52"/>
      <c r="S76" s="320"/>
      <c r="T76" s="320"/>
      <c r="U76" s="320"/>
      <c r="V76" s="664"/>
    </row>
    <row r="77" spans="1:22" ht="33.75" customHeight="1">
      <c r="A77" s="87">
        <v>1</v>
      </c>
      <c r="B77" s="666" t="str">
        <f>'приложение 7.1'!B79</f>
        <v>РП-29 Марпосадское шоссе, 9В, г.Чебоксары</v>
      </c>
      <c r="C77" s="52" t="s">
        <v>598</v>
      </c>
      <c r="D77" s="320" t="s">
        <v>598</v>
      </c>
      <c r="E77" s="320" t="s">
        <v>598</v>
      </c>
      <c r="F77" s="320" t="str">
        <f>'приложение 7.2'!Z78</f>
        <v>КСО 2 шт.</v>
      </c>
      <c r="G77" s="664" t="str">
        <f>F77</f>
        <v>КСО 2 шт.</v>
      </c>
      <c r="H77" s="52" t="s">
        <v>598</v>
      </c>
      <c r="I77" s="320" t="s">
        <v>598</v>
      </c>
      <c r="J77" s="320" t="s">
        <v>598</v>
      </c>
      <c r="K77" s="320" t="str">
        <f>F77</f>
        <v>КСО 2 шт.</v>
      </c>
      <c r="L77" s="320" t="str">
        <f>G77</f>
        <v>КСО 2 шт.</v>
      </c>
      <c r="M77" s="52" t="str">
        <f aca="true" t="shared" si="18" ref="M77:Q78">C77</f>
        <v>-</v>
      </c>
      <c r="N77" s="320" t="str">
        <f t="shared" si="18"/>
        <v>-</v>
      </c>
      <c r="O77" s="320" t="str">
        <f t="shared" si="18"/>
        <v>-</v>
      </c>
      <c r="P77" s="320" t="str">
        <f t="shared" si="18"/>
        <v>КСО 2 шт.</v>
      </c>
      <c r="Q77" s="664" t="str">
        <f t="shared" si="18"/>
        <v>КСО 2 шт.</v>
      </c>
      <c r="R77" s="52"/>
      <c r="S77" s="320"/>
      <c r="T77" s="320"/>
      <c r="U77" s="320" t="str">
        <f>P77</f>
        <v>КСО 2 шт.</v>
      </c>
      <c r="V77" s="664" t="str">
        <f>Q77</f>
        <v>КСО 2 шт.</v>
      </c>
    </row>
    <row r="78" spans="1:22" ht="33.75" customHeight="1">
      <c r="A78" s="87">
        <v>2</v>
      </c>
      <c r="B78" s="666" t="str">
        <f>'приложение 7.1'!B80</f>
        <v>РП-17 (для новой КТПН по ул.Пристанционная) г.Чебоксары</v>
      </c>
      <c r="C78" s="52" t="s">
        <v>598</v>
      </c>
      <c r="D78" s="320" t="s">
        <v>598</v>
      </c>
      <c r="E78" s="320" t="s">
        <v>598</v>
      </c>
      <c r="F78" s="320" t="s">
        <v>598</v>
      </c>
      <c r="G78" s="664" t="str">
        <f>F78</f>
        <v>-</v>
      </c>
      <c r="H78" s="52" t="s">
        <v>598</v>
      </c>
      <c r="I78" s="320" t="s">
        <v>598</v>
      </c>
      <c r="J78" s="320" t="s">
        <v>598</v>
      </c>
      <c r="K78" s="320" t="s">
        <v>598</v>
      </c>
      <c r="L78" s="320" t="s">
        <v>598</v>
      </c>
      <c r="M78" s="52" t="str">
        <f t="shared" si="18"/>
        <v>-</v>
      </c>
      <c r="N78" s="320" t="str">
        <f t="shared" si="18"/>
        <v>-</v>
      </c>
      <c r="O78" s="320" t="str">
        <f t="shared" si="18"/>
        <v>-</v>
      </c>
      <c r="P78" s="320" t="str">
        <f t="shared" si="18"/>
        <v>-</v>
      </c>
      <c r="Q78" s="664" t="str">
        <f t="shared" si="18"/>
        <v>-</v>
      </c>
      <c r="R78" s="52"/>
      <c r="S78" s="320"/>
      <c r="T78" s="320"/>
      <c r="U78" s="320"/>
      <c r="V78" s="664"/>
    </row>
    <row r="79" spans="1:22" ht="15.75">
      <c r="A79" s="87" t="s">
        <v>710</v>
      </c>
      <c r="B79" s="665" t="str">
        <f>'приложение 7.1'!B81</f>
        <v>ТП-6-10/0.4 кВ</v>
      </c>
      <c r="C79" s="52"/>
      <c r="D79" s="320"/>
      <c r="E79" s="320"/>
      <c r="F79" s="320"/>
      <c r="G79" s="664"/>
      <c r="H79" s="52"/>
      <c r="I79" s="320"/>
      <c r="J79" s="320"/>
      <c r="K79" s="320"/>
      <c r="L79" s="320"/>
      <c r="M79" s="52"/>
      <c r="N79" s="320"/>
      <c r="O79" s="320"/>
      <c r="P79" s="320"/>
      <c r="Q79" s="664"/>
      <c r="R79" s="52"/>
      <c r="S79" s="320"/>
      <c r="T79" s="320"/>
      <c r="U79" s="320"/>
      <c r="V79" s="664"/>
    </row>
    <row r="80" spans="1:22" ht="15.75">
      <c r="A80" s="663" t="s">
        <v>897</v>
      </c>
      <c r="B80" s="665" t="str">
        <f>'приложение 7.1'!B82</f>
        <v>г.Чебоксары</v>
      </c>
      <c r="C80" s="52"/>
      <c r="D80" s="320"/>
      <c r="E80" s="320"/>
      <c r="F80" s="320"/>
      <c r="G80" s="664"/>
      <c r="H80" s="52"/>
      <c r="I80" s="320"/>
      <c r="J80" s="320"/>
      <c r="K80" s="320"/>
      <c r="L80" s="320"/>
      <c r="M80" s="52"/>
      <c r="N80" s="320"/>
      <c r="O80" s="320"/>
      <c r="P80" s="320"/>
      <c r="Q80" s="664"/>
      <c r="R80" s="52"/>
      <c r="S80" s="320"/>
      <c r="T80" s="320"/>
      <c r="U80" s="320"/>
      <c r="V80" s="664"/>
    </row>
    <row r="81" spans="1:22" ht="96.75" customHeight="1">
      <c r="A81" s="87">
        <v>1</v>
      </c>
      <c r="B81" s="666" t="str">
        <f>'приложение 7.1'!B83</f>
        <v>ТП-216, ул.К.Маркса, 36А, г.Чебоксары</v>
      </c>
      <c r="C81" s="52" t="s">
        <v>598</v>
      </c>
      <c r="D81" s="320" t="s">
        <v>598</v>
      </c>
      <c r="E81" s="320" t="s">
        <v>598</v>
      </c>
      <c r="F81" s="344" t="str">
        <f>'приложение 7.2'!Z82</f>
        <v>тр-р 630кВА-2шт.; КСО 6шт.; ЩО70 12шт.</v>
      </c>
      <c r="G81" s="344" t="str">
        <f>F81</f>
        <v>тр-р 630кВА-2шт.; КСО 6шт.; ЩО70 12шт.</v>
      </c>
      <c r="H81" s="52" t="s">
        <v>598</v>
      </c>
      <c r="I81" s="320" t="s">
        <v>598</v>
      </c>
      <c r="J81" s="320" t="s">
        <v>598</v>
      </c>
      <c r="K81" s="344" t="str">
        <f>F81</f>
        <v>тр-р 630кВА-2шт.; КСО 6шт.; ЩО70 12шт.</v>
      </c>
      <c r="L81" s="344" t="str">
        <f>K81</f>
        <v>тр-р 630кВА-2шт.; КСО 6шт.; ЩО70 12шт.</v>
      </c>
      <c r="M81" s="52" t="str">
        <f aca="true" t="shared" si="19" ref="M81:Q84">C81</f>
        <v>-</v>
      </c>
      <c r="N81" s="320" t="str">
        <f t="shared" si="19"/>
        <v>-</v>
      </c>
      <c r="O81" s="320" t="str">
        <f t="shared" si="19"/>
        <v>-</v>
      </c>
      <c r="P81" s="344" t="str">
        <f t="shared" si="19"/>
        <v>тр-р 630кВА-2шт.; КСО 6шт.; ЩО70 12шт.</v>
      </c>
      <c r="Q81" s="344" t="str">
        <f t="shared" si="19"/>
        <v>тр-р 630кВА-2шт.; КСО 6шт.; ЩО70 12шт.</v>
      </c>
      <c r="R81" s="52"/>
      <c r="S81" s="320"/>
      <c r="T81" s="320"/>
      <c r="U81" s="344" t="str">
        <f>P81</f>
        <v>тр-р 630кВА-2шт.; КСО 6шт.; ЩО70 12шт.</v>
      </c>
      <c r="V81" s="344" t="str">
        <f>Q81</f>
        <v>тр-р 630кВА-2шт.; КСО 6шт.; ЩО70 12шт.</v>
      </c>
    </row>
    <row r="82" spans="1:22" ht="33.75" customHeight="1">
      <c r="A82" s="87">
        <v>2</v>
      </c>
      <c r="B82" s="666" t="str">
        <f>'приложение 7.1'!B84</f>
        <v>ТП-277,  ул.Хевешская, 27А (разработка рабочей документации)</v>
      </c>
      <c r="C82" s="52" t="s">
        <v>598</v>
      </c>
      <c r="D82" s="320" t="s">
        <v>598</v>
      </c>
      <c r="E82" s="320" t="s">
        <v>598</v>
      </c>
      <c r="F82" s="344" t="s">
        <v>598</v>
      </c>
      <c r="G82" s="344" t="str">
        <f>F82</f>
        <v>-</v>
      </c>
      <c r="H82" s="52" t="s">
        <v>598</v>
      </c>
      <c r="I82" s="320" t="s">
        <v>598</v>
      </c>
      <c r="J82" s="320" t="s">
        <v>598</v>
      </c>
      <c r="K82" s="320" t="str">
        <f aca="true" t="shared" si="20" ref="K82:L84">F82</f>
        <v>-</v>
      </c>
      <c r="L82" s="320" t="str">
        <f t="shared" si="20"/>
        <v>-</v>
      </c>
      <c r="M82" s="52" t="str">
        <f t="shared" si="19"/>
        <v>-</v>
      </c>
      <c r="N82" s="320" t="str">
        <f t="shared" si="19"/>
        <v>-</v>
      </c>
      <c r="O82" s="320" t="str">
        <f t="shared" si="19"/>
        <v>-</v>
      </c>
      <c r="P82" s="344" t="str">
        <f t="shared" si="19"/>
        <v>-</v>
      </c>
      <c r="Q82" s="344" t="str">
        <f t="shared" si="19"/>
        <v>-</v>
      </c>
      <c r="R82" s="52"/>
      <c r="S82" s="320"/>
      <c r="T82" s="320"/>
      <c r="U82" s="320"/>
      <c r="V82" s="664"/>
    </row>
    <row r="83" spans="1:22" ht="33.75" customHeight="1">
      <c r="A83" s="87">
        <v>3</v>
      </c>
      <c r="B83" s="666" t="str">
        <f>'приложение 7.1'!B85</f>
        <v>ТП-153,  ул.Обиковская,567А, (разработка рабочей документации)</v>
      </c>
      <c r="C83" s="52" t="s">
        <v>598</v>
      </c>
      <c r="D83" s="320" t="s">
        <v>598</v>
      </c>
      <c r="E83" s="320" t="s">
        <v>598</v>
      </c>
      <c r="F83" s="344" t="s">
        <v>598</v>
      </c>
      <c r="G83" s="344" t="str">
        <f>F83</f>
        <v>-</v>
      </c>
      <c r="H83" s="52" t="s">
        <v>598</v>
      </c>
      <c r="I83" s="320" t="s">
        <v>598</v>
      </c>
      <c r="J83" s="320" t="s">
        <v>598</v>
      </c>
      <c r="K83" s="320" t="str">
        <f t="shared" si="20"/>
        <v>-</v>
      </c>
      <c r="L83" s="320" t="str">
        <f t="shared" si="20"/>
        <v>-</v>
      </c>
      <c r="M83" s="52" t="str">
        <f t="shared" si="19"/>
        <v>-</v>
      </c>
      <c r="N83" s="320" t="str">
        <f t="shared" si="19"/>
        <v>-</v>
      </c>
      <c r="O83" s="320" t="str">
        <f t="shared" si="19"/>
        <v>-</v>
      </c>
      <c r="P83" s="344" t="str">
        <f t="shared" si="19"/>
        <v>-</v>
      </c>
      <c r="Q83" s="344" t="str">
        <f t="shared" si="19"/>
        <v>-</v>
      </c>
      <c r="R83" s="52"/>
      <c r="S83" s="320"/>
      <c r="T83" s="320"/>
      <c r="U83" s="320"/>
      <c r="V83" s="664"/>
    </row>
    <row r="84" spans="1:22" ht="53.25" customHeight="1">
      <c r="A84" s="87">
        <v>4</v>
      </c>
      <c r="B84" s="666" t="str">
        <f>'приложение 7.1'!B86</f>
        <v>ТП-232 пр.Мира, 22А (замена КСО и ЩО), разработка рабочей документации</v>
      </c>
      <c r="C84" s="52" t="s">
        <v>598</v>
      </c>
      <c r="D84" s="320" t="s">
        <v>598</v>
      </c>
      <c r="E84" s="320" t="s">
        <v>598</v>
      </c>
      <c r="F84" s="344" t="s">
        <v>598</v>
      </c>
      <c r="G84" s="344" t="str">
        <f>F84</f>
        <v>-</v>
      </c>
      <c r="H84" s="52" t="s">
        <v>598</v>
      </c>
      <c r="I84" s="320" t="s">
        <v>598</v>
      </c>
      <c r="J84" s="320" t="s">
        <v>598</v>
      </c>
      <c r="K84" s="320" t="str">
        <f t="shared" si="20"/>
        <v>-</v>
      </c>
      <c r="L84" s="320" t="str">
        <f t="shared" si="20"/>
        <v>-</v>
      </c>
      <c r="M84" s="52" t="str">
        <f t="shared" si="19"/>
        <v>-</v>
      </c>
      <c r="N84" s="320" t="str">
        <f t="shared" si="19"/>
        <v>-</v>
      </c>
      <c r="O84" s="320" t="str">
        <f t="shared" si="19"/>
        <v>-</v>
      </c>
      <c r="P84" s="344" t="str">
        <f t="shared" si="19"/>
        <v>-</v>
      </c>
      <c r="Q84" s="344" t="str">
        <f t="shared" si="19"/>
        <v>-</v>
      </c>
      <c r="R84" s="52"/>
      <c r="S84" s="320"/>
      <c r="T84" s="320"/>
      <c r="U84" s="320"/>
      <c r="V84" s="664"/>
    </row>
    <row r="85" spans="1:22" ht="53.25" customHeight="1">
      <c r="A85" s="87">
        <v>5</v>
      </c>
      <c r="B85" s="666" t="str">
        <f>'приложение 7.1'!B87</f>
        <v>ТП-527, ул.Кирова</v>
      </c>
      <c r="C85" s="52" t="s">
        <v>598</v>
      </c>
      <c r="D85" s="320" t="s">
        <v>598</v>
      </c>
      <c r="E85" s="320" t="s">
        <v>598</v>
      </c>
      <c r="F85" s="344" t="s">
        <v>598</v>
      </c>
      <c r="G85" s="344" t="str">
        <f aca="true" t="shared" si="21" ref="G85:G90">F85</f>
        <v>-</v>
      </c>
      <c r="H85" s="52" t="s">
        <v>598</v>
      </c>
      <c r="I85" s="320" t="s">
        <v>598</v>
      </c>
      <c r="J85" s="320" t="s">
        <v>598</v>
      </c>
      <c r="K85" s="320" t="str">
        <f aca="true" t="shared" si="22" ref="K85:K90">F85</f>
        <v>-</v>
      </c>
      <c r="L85" s="320" t="str">
        <f aca="true" t="shared" si="23" ref="L85:L90">G85</f>
        <v>-</v>
      </c>
      <c r="M85" s="52" t="str">
        <f aca="true" t="shared" si="24" ref="M85:M90">C85</f>
        <v>-</v>
      </c>
      <c r="N85" s="320" t="str">
        <f aca="true" t="shared" si="25" ref="N85:N90">D85</f>
        <v>-</v>
      </c>
      <c r="O85" s="320" t="str">
        <f aca="true" t="shared" si="26" ref="O85:O90">E85</f>
        <v>-</v>
      </c>
      <c r="P85" s="344" t="str">
        <f aca="true" t="shared" si="27" ref="P85:P90">F85</f>
        <v>-</v>
      </c>
      <c r="Q85" s="344" t="str">
        <f aca="true" t="shared" si="28" ref="Q85:Q90">G85</f>
        <v>-</v>
      </c>
      <c r="R85" s="52"/>
      <c r="S85" s="320"/>
      <c r="T85" s="320"/>
      <c r="U85" s="320"/>
      <c r="V85" s="664"/>
    </row>
    <row r="86" spans="1:22" ht="53.25" customHeight="1">
      <c r="A86" s="87">
        <v>6</v>
      </c>
      <c r="B86" s="666" t="str">
        <f>'приложение 7.1'!B88</f>
        <v>Реконструкция ТП-424</v>
      </c>
      <c r="C86" s="52" t="s">
        <v>598</v>
      </c>
      <c r="D86" s="320" t="s">
        <v>598</v>
      </c>
      <c r="E86" s="320" t="s">
        <v>598</v>
      </c>
      <c r="F86" s="344" t="str">
        <f>'приложение 7.2'!Z87</f>
        <v>0,63 мВА</v>
      </c>
      <c r="G86" s="344" t="str">
        <f t="shared" si="21"/>
        <v>0,63 мВА</v>
      </c>
      <c r="H86" s="52" t="s">
        <v>598</v>
      </c>
      <c r="I86" s="320" t="s">
        <v>598</v>
      </c>
      <c r="J86" s="320" t="s">
        <v>598</v>
      </c>
      <c r="K86" s="320" t="str">
        <f t="shared" si="22"/>
        <v>0,63 мВА</v>
      </c>
      <c r="L86" s="320" t="str">
        <f t="shared" si="23"/>
        <v>0,63 мВА</v>
      </c>
      <c r="M86" s="52" t="str">
        <f t="shared" si="24"/>
        <v>-</v>
      </c>
      <c r="N86" s="320" t="str">
        <f t="shared" si="25"/>
        <v>-</v>
      </c>
      <c r="O86" s="320" t="str">
        <f t="shared" si="26"/>
        <v>-</v>
      </c>
      <c r="P86" s="344" t="str">
        <f t="shared" si="27"/>
        <v>0,63 мВА</v>
      </c>
      <c r="Q86" s="344" t="str">
        <f t="shared" si="28"/>
        <v>0,63 мВА</v>
      </c>
      <c r="R86" s="52"/>
      <c r="S86" s="320"/>
      <c r="T86" s="320"/>
      <c r="U86" s="320" t="str">
        <f aca="true" t="shared" si="29" ref="U86:V90">P86</f>
        <v>0,63 мВА</v>
      </c>
      <c r="V86" s="664" t="str">
        <f t="shared" si="29"/>
        <v>0,63 мВА</v>
      </c>
    </row>
    <row r="87" spans="1:22" ht="53.25" customHeight="1">
      <c r="A87" s="87">
        <v>7</v>
      </c>
      <c r="B87" s="666" t="str">
        <f>'приложение 7.1'!B89</f>
        <v>Реконструкция ТП-196 (тр-р ТМГ-400/10)</v>
      </c>
      <c r="C87" s="52" t="s">
        <v>598</v>
      </c>
      <c r="D87" s="320" t="s">
        <v>598</v>
      </c>
      <c r="E87" s="320" t="s">
        <v>598</v>
      </c>
      <c r="F87" s="344" t="str">
        <f>'приложение 7.2'!Z88</f>
        <v>0,4мВА</v>
      </c>
      <c r="G87" s="344" t="str">
        <f t="shared" si="21"/>
        <v>0,4мВА</v>
      </c>
      <c r="H87" s="52" t="s">
        <v>598</v>
      </c>
      <c r="I87" s="320" t="s">
        <v>598</v>
      </c>
      <c r="J87" s="320" t="s">
        <v>598</v>
      </c>
      <c r="K87" s="320" t="str">
        <f t="shared" si="22"/>
        <v>0,4мВА</v>
      </c>
      <c r="L87" s="320" t="str">
        <f t="shared" si="23"/>
        <v>0,4мВА</v>
      </c>
      <c r="M87" s="52" t="str">
        <f t="shared" si="24"/>
        <v>-</v>
      </c>
      <c r="N87" s="320" t="str">
        <f t="shared" si="25"/>
        <v>-</v>
      </c>
      <c r="O87" s="320" t="str">
        <f t="shared" si="26"/>
        <v>-</v>
      </c>
      <c r="P87" s="344" t="str">
        <f t="shared" si="27"/>
        <v>0,4мВА</v>
      </c>
      <c r="Q87" s="344" t="str">
        <f t="shared" si="28"/>
        <v>0,4мВА</v>
      </c>
      <c r="R87" s="52"/>
      <c r="S87" s="320"/>
      <c r="T87" s="320"/>
      <c r="U87" s="320" t="str">
        <f t="shared" si="29"/>
        <v>0,4мВА</v>
      </c>
      <c r="V87" s="664" t="str">
        <f t="shared" si="29"/>
        <v>0,4мВА</v>
      </c>
    </row>
    <row r="88" spans="1:22" ht="53.25" customHeight="1">
      <c r="A88" s="87">
        <v>8</v>
      </c>
      <c r="B88" s="666" t="str">
        <f>'приложение 7.1'!B90</f>
        <v>Реконструкция ТП-477 (тр-р ТМГ-630/10-2 шт)</v>
      </c>
      <c r="C88" s="52" t="s">
        <v>598</v>
      </c>
      <c r="D88" s="320" t="s">
        <v>598</v>
      </c>
      <c r="E88" s="320" t="s">
        <v>598</v>
      </c>
      <c r="F88" s="344" t="str">
        <f>'приложение 7.2'!Z89</f>
        <v>2х0,63мВА</v>
      </c>
      <c r="G88" s="344" t="str">
        <f t="shared" si="21"/>
        <v>2х0,63мВА</v>
      </c>
      <c r="H88" s="52" t="s">
        <v>598</v>
      </c>
      <c r="I88" s="320" t="s">
        <v>598</v>
      </c>
      <c r="J88" s="320" t="s">
        <v>598</v>
      </c>
      <c r="K88" s="320" t="str">
        <f t="shared" si="22"/>
        <v>2х0,63мВА</v>
      </c>
      <c r="L88" s="320" t="str">
        <f t="shared" si="23"/>
        <v>2х0,63мВА</v>
      </c>
      <c r="M88" s="52" t="str">
        <f t="shared" si="24"/>
        <v>-</v>
      </c>
      <c r="N88" s="320" t="str">
        <f t="shared" si="25"/>
        <v>-</v>
      </c>
      <c r="O88" s="320" t="str">
        <f t="shared" si="26"/>
        <v>-</v>
      </c>
      <c r="P88" s="344" t="str">
        <f t="shared" si="27"/>
        <v>2х0,63мВА</v>
      </c>
      <c r="Q88" s="344" t="str">
        <f t="shared" si="28"/>
        <v>2х0,63мВА</v>
      </c>
      <c r="R88" s="52"/>
      <c r="S88" s="320"/>
      <c r="T88" s="320"/>
      <c r="U88" s="320" t="str">
        <f t="shared" si="29"/>
        <v>2х0,63мВА</v>
      </c>
      <c r="V88" s="664" t="str">
        <f t="shared" si="29"/>
        <v>2х0,63мВА</v>
      </c>
    </row>
    <row r="89" spans="1:22" ht="53.25" customHeight="1">
      <c r="A89" s="87">
        <v>9</v>
      </c>
      <c r="B89" s="666" t="str">
        <f>'приложение 7.1'!B91</f>
        <v>Реконструкция ТП-480 (тр-р ТМГ-630/10-1 шт)</v>
      </c>
      <c r="C89" s="52" t="s">
        <v>598</v>
      </c>
      <c r="D89" s="320" t="s">
        <v>598</v>
      </c>
      <c r="E89" s="320" t="s">
        <v>598</v>
      </c>
      <c r="F89" s="344" t="str">
        <f>'приложение 7.2'!Z90</f>
        <v>0,63мВА</v>
      </c>
      <c r="G89" s="344" t="str">
        <f t="shared" si="21"/>
        <v>0,63мВА</v>
      </c>
      <c r="H89" s="52" t="s">
        <v>598</v>
      </c>
      <c r="I89" s="320" t="s">
        <v>598</v>
      </c>
      <c r="J89" s="320" t="s">
        <v>598</v>
      </c>
      <c r="K89" s="320" t="str">
        <f t="shared" si="22"/>
        <v>0,63мВА</v>
      </c>
      <c r="L89" s="320" t="str">
        <f t="shared" si="23"/>
        <v>0,63мВА</v>
      </c>
      <c r="M89" s="52" t="str">
        <f t="shared" si="24"/>
        <v>-</v>
      </c>
      <c r="N89" s="320" t="str">
        <f t="shared" si="25"/>
        <v>-</v>
      </c>
      <c r="O89" s="320" t="str">
        <f t="shared" si="26"/>
        <v>-</v>
      </c>
      <c r="P89" s="344" t="str">
        <f t="shared" si="27"/>
        <v>0,63мВА</v>
      </c>
      <c r="Q89" s="344" t="str">
        <f t="shared" si="28"/>
        <v>0,63мВА</v>
      </c>
      <c r="R89" s="52"/>
      <c r="S89" s="320"/>
      <c r="T89" s="320"/>
      <c r="U89" s="320" t="str">
        <f t="shared" si="29"/>
        <v>0,63мВА</v>
      </c>
      <c r="V89" s="664" t="str">
        <f t="shared" si="29"/>
        <v>0,63мВА</v>
      </c>
    </row>
    <row r="90" spans="1:22" ht="53.25" customHeight="1">
      <c r="A90" s="87">
        <v>10</v>
      </c>
      <c r="B90" s="666" t="str">
        <f>'приложение 7.1'!B92</f>
        <v>Реконструкция ТП-450</v>
      </c>
      <c r="C90" s="52" t="s">
        <v>598</v>
      </c>
      <c r="D90" s="320" t="s">
        <v>598</v>
      </c>
      <c r="E90" s="320" t="s">
        <v>598</v>
      </c>
      <c r="F90" s="344" t="str">
        <f>'приложение 7.2'!Z91</f>
        <v>0,63мВА</v>
      </c>
      <c r="G90" s="344" t="str">
        <f t="shared" si="21"/>
        <v>0,63мВА</v>
      </c>
      <c r="H90" s="52" t="s">
        <v>598</v>
      </c>
      <c r="I90" s="320" t="s">
        <v>598</v>
      </c>
      <c r="J90" s="320" t="s">
        <v>598</v>
      </c>
      <c r="K90" s="320" t="str">
        <f t="shared" si="22"/>
        <v>0,63мВА</v>
      </c>
      <c r="L90" s="320" t="str">
        <f t="shared" si="23"/>
        <v>0,63мВА</v>
      </c>
      <c r="M90" s="52" t="str">
        <f t="shared" si="24"/>
        <v>-</v>
      </c>
      <c r="N90" s="320" t="str">
        <f t="shared" si="25"/>
        <v>-</v>
      </c>
      <c r="O90" s="320" t="str">
        <f t="shared" si="26"/>
        <v>-</v>
      </c>
      <c r="P90" s="344" t="str">
        <f t="shared" si="27"/>
        <v>0,63мВА</v>
      </c>
      <c r="Q90" s="344" t="str">
        <f t="shared" si="28"/>
        <v>0,63мВА</v>
      </c>
      <c r="R90" s="52"/>
      <c r="S90" s="320"/>
      <c r="T90" s="320"/>
      <c r="U90" s="320" t="str">
        <f t="shared" si="29"/>
        <v>0,63мВА</v>
      </c>
      <c r="V90" s="664" t="str">
        <f t="shared" si="29"/>
        <v>0,63мВА</v>
      </c>
    </row>
    <row r="91" spans="1:22" ht="15.75">
      <c r="A91" s="663" t="s">
        <v>899</v>
      </c>
      <c r="B91" s="665" t="str">
        <f>'приложение 7.1'!B93</f>
        <v>г.Цивильск</v>
      </c>
      <c r="C91" s="52"/>
      <c r="D91" s="320"/>
      <c r="E91" s="320"/>
      <c r="F91" s="320"/>
      <c r="G91" s="664"/>
      <c r="H91" s="52"/>
      <c r="I91" s="320"/>
      <c r="J91" s="320"/>
      <c r="K91" s="320"/>
      <c r="L91" s="320"/>
      <c r="M91" s="52"/>
      <c r="N91" s="320"/>
      <c r="O91" s="320"/>
      <c r="P91" s="320"/>
      <c r="Q91" s="664"/>
      <c r="R91" s="52"/>
      <c r="S91" s="320"/>
      <c r="T91" s="320"/>
      <c r="U91" s="320"/>
      <c r="V91" s="664"/>
    </row>
    <row r="92" spans="1:22" ht="30.75" customHeight="1">
      <c r="A92" s="87">
        <v>1</v>
      </c>
      <c r="B92" s="666" t="str">
        <f>'приложение 7.1'!B94</f>
        <v>ТП-27 (установка нового ТП)</v>
      </c>
      <c r="C92" s="52" t="s">
        <v>598</v>
      </c>
      <c r="D92" s="320" t="s">
        <v>598</v>
      </c>
      <c r="E92" s="320" t="s">
        <v>598</v>
      </c>
      <c r="F92" s="344" t="str">
        <f>'приложение 7.2'!Z93</f>
        <v>0,8мВА</v>
      </c>
      <c r="G92" s="344" t="str">
        <f>F92</f>
        <v>0,8мВА</v>
      </c>
      <c r="H92" s="52" t="s">
        <v>598</v>
      </c>
      <c r="I92" s="320" t="s">
        <v>598</v>
      </c>
      <c r="J92" s="320" t="s">
        <v>598</v>
      </c>
      <c r="K92" s="320" t="str">
        <f>F92</f>
        <v>0,8мВА</v>
      </c>
      <c r="L92" s="320" t="str">
        <f>G92</f>
        <v>0,8мВА</v>
      </c>
      <c r="M92" s="52" t="str">
        <f>C92</f>
        <v>-</v>
      </c>
      <c r="N92" s="320" t="str">
        <f>D92</f>
        <v>-</v>
      </c>
      <c r="O92" s="320" t="str">
        <f>E92</f>
        <v>-</v>
      </c>
      <c r="P92" s="344" t="str">
        <f>F92</f>
        <v>0,8мВА</v>
      </c>
      <c r="Q92" s="344" t="str">
        <f>G92</f>
        <v>0,8мВА</v>
      </c>
      <c r="R92" s="52"/>
      <c r="S92" s="320"/>
      <c r="T92" s="320"/>
      <c r="U92" s="320" t="str">
        <f>P92</f>
        <v>0,8мВА</v>
      </c>
      <c r="V92" s="664" t="str">
        <f>Q92</f>
        <v>0,8мВА</v>
      </c>
    </row>
    <row r="93" spans="1:22" ht="15.75">
      <c r="A93" s="663" t="s">
        <v>898</v>
      </c>
      <c r="B93" s="665" t="str">
        <f>'приложение 7.1'!B95</f>
        <v>г.Мариинский Посад</v>
      </c>
      <c r="C93" s="52"/>
      <c r="D93" s="320"/>
      <c r="E93" s="320"/>
      <c r="F93" s="320"/>
      <c r="G93" s="664"/>
      <c r="H93" s="52"/>
      <c r="I93" s="320"/>
      <c r="J93" s="320"/>
      <c r="K93" s="320"/>
      <c r="L93" s="320"/>
      <c r="M93" s="52"/>
      <c r="N93" s="320"/>
      <c r="O93" s="320"/>
      <c r="P93" s="320"/>
      <c r="Q93" s="664"/>
      <c r="R93" s="52"/>
      <c r="S93" s="320"/>
      <c r="T93" s="320"/>
      <c r="U93" s="320"/>
      <c r="V93" s="664"/>
    </row>
    <row r="94" spans="1:22" ht="51.75" customHeight="1">
      <c r="A94" s="87">
        <v>1</v>
      </c>
      <c r="B94" s="666" t="str">
        <f>'приложение 7.1'!B96</f>
        <v>Реконструкция силового оборудования ТП-15 (замена ТМ-560 кВА на ТМГ-400)</v>
      </c>
      <c r="C94" s="52" t="s">
        <v>598</v>
      </c>
      <c r="D94" s="320" t="s">
        <v>598</v>
      </c>
      <c r="E94" s="320" t="s">
        <v>598</v>
      </c>
      <c r="F94" s="344" t="str">
        <f>'приложение 7.2'!Z95</f>
        <v>0,4мВА</v>
      </c>
      <c r="G94" s="344" t="str">
        <f>F94</f>
        <v>0,4мВА</v>
      </c>
      <c r="H94" s="52" t="s">
        <v>598</v>
      </c>
      <c r="I94" s="320" t="s">
        <v>598</v>
      </c>
      <c r="J94" s="320" t="s">
        <v>598</v>
      </c>
      <c r="K94" s="320" t="str">
        <f>F94</f>
        <v>0,4мВА</v>
      </c>
      <c r="L94" s="320" t="str">
        <f>G94</f>
        <v>0,4мВА</v>
      </c>
      <c r="M94" s="52" t="str">
        <f aca="true" t="shared" si="30" ref="M94:Q95">C94</f>
        <v>-</v>
      </c>
      <c r="N94" s="320" t="str">
        <f t="shared" si="30"/>
        <v>-</v>
      </c>
      <c r="O94" s="320" t="str">
        <f t="shared" si="30"/>
        <v>-</v>
      </c>
      <c r="P94" s="344" t="str">
        <f t="shared" si="30"/>
        <v>0,4мВА</v>
      </c>
      <c r="Q94" s="344" t="str">
        <f t="shared" si="30"/>
        <v>0,4мВА</v>
      </c>
      <c r="R94" s="52"/>
      <c r="S94" s="320"/>
      <c r="T94" s="320"/>
      <c r="U94" s="320" t="str">
        <f>P94</f>
        <v>0,4мВА</v>
      </c>
      <c r="V94" s="664" t="str">
        <f>Q94</f>
        <v>0,4мВА</v>
      </c>
    </row>
    <row r="95" spans="1:22" ht="51.75" customHeight="1">
      <c r="A95" s="87">
        <v>2</v>
      </c>
      <c r="B95" s="666" t="str">
        <f>'приложение 7.1'!B97</f>
        <v>Реконструкция ТП-23, ул.Курчатова, 12а </v>
      </c>
      <c r="C95" s="52" t="s">
        <v>598</v>
      </c>
      <c r="D95" s="320" t="s">
        <v>598</v>
      </c>
      <c r="E95" s="320" t="s">
        <v>598</v>
      </c>
      <c r="F95" s="344" t="str">
        <f>'приложение 7.2'!Z96</f>
        <v>0,4мВА</v>
      </c>
      <c r="G95" s="344" t="str">
        <f>F95</f>
        <v>0,4мВА</v>
      </c>
      <c r="H95" s="52" t="s">
        <v>598</v>
      </c>
      <c r="I95" s="320" t="s">
        <v>598</v>
      </c>
      <c r="J95" s="320" t="s">
        <v>598</v>
      </c>
      <c r="K95" s="320" t="str">
        <f>F95</f>
        <v>0,4мВА</v>
      </c>
      <c r="L95" s="320" t="str">
        <f>G95</f>
        <v>0,4мВА</v>
      </c>
      <c r="M95" s="52" t="str">
        <f t="shared" si="30"/>
        <v>-</v>
      </c>
      <c r="N95" s="320" t="str">
        <f t="shared" si="30"/>
        <v>-</v>
      </c>
      <c r="O95" s="320" t="str">
        <f t="shared" si="30"/>
        <v>-</v>
      </c>
      <c r="P95" s="344" t="str">
        <f t="shared" si="30"/>
        <v>0,4мВА</v>
      </c>
      <c r="Q95" s="344" t="str">
        <f t="shared" si="30"/>
        <v>0,4мВА</v>
      </c>
      <c r="R95" s="52"/>
      <c r="S95" s="320"/>
      <c r="T95" s="320"/>
      <c r="U95" s="320" t="str">
        <f>P95</f>
        <v>0,4мВА</v>
      </c>
      <c r="V95" s="664" t="str">
        <f>Q95</f>
        <v>0,4мВА</v>
      </c>
    </row>
    <row r="96" spans="1:22" ht="96.75" customHeight="1">
      <c r="A96" s="87" t="s">
        <v>640</v>
      </c>
      <c r="B96" s="665" t="str">
        <f>'приложение 7.1'!B98</f>
        <v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v>
      </c>
      <c r="C96" s="52"/>
      <c r="D96" s="320"/>
      <c r="E96" s="320"/>
      <c r="F96" s="320"/>
      <c r="G96" s="664"/>
      <c r="H96" s="52"/>
      <c r="I96" s="320"/>
      <c r="J96" s="320"/>
      <c r="K96" s="344"/>
      <c r="L96" s="30"/>
      <c r="M96" s="52"/>
      <c r="N96" s="320"/>
      <c r="O96" s="320"/>
      <c r="P96" s="344"/>
      <c r="Q96" s="30"/>
      <c r="R96" s="52"/>
      <c r="S96" s="320"/>
      <c r="T96" s="320"/>
      <c r="U96" s="320"/>
      <c r="V96" s="664"/>
    </row>
    <row r="97" spans="1:22" ht="27" customHeight="1">
      <c r="A97" s="87"/>
      <c r="B97" s="665"/>
      <c r="C97" s="52"/>
      <c r="D97" s="320"/>
      <c r="E97" s="320"/>
      <c r="F97" s="320"/>
      <c r="G97" s="664"/>
      <c r="H97" s="834"/>
      <c r="I97" s="320"/>
      <c r="J97" s="320"/>
      <c r="K97" s="344"/>
      <c r="L97" s="30"/>
      <c r="M97" s="52"/>
      <c r="N97" s="320"/>
      <c r="O97" s="320"/>
      <c r="P97" s="344"/>
      <c r="Q97" s="30"/>
      <c r="R97" s="52"/>
      <c r="S97" s="320"/>
      <c r="T97" s="320"/>
      <c r="U97" s="320"/>
      <c r="V97" s="664"/>
    </row>
    <row r="98" spans="1:22" ht="15.75">
      <c r="A98" s="663" t="s">
        <v>614</v>
      </c>
      <c r="B98" s="665" t="str">
        <f>'приложение 7.1'!B100</f>
        <v>Новое строительство</v>
      </c>
      <c r="C98" s="52"/>
      <c r="D98" s="320"/>
      <c r="E98" s="320"/>
      <c r="F98" s="320"/>
      <c r="G98" s="664"/>
      <c r="H98" s="834"/>
      <c r="I98" s="320"/>
      <c r="J98" s="320"/>
      <c r="K98" s="320"/>
      <c r="L98" s="320"/>
      <c r="M98" s="52"/>
      <c r="N98" s="320"/>
      <c r="O98" s="320"/>
      <c r="P98" s="320"/>
      <c r="Q98" s="664"/>
      <c r="R98" s="52"/>
      <c r="S98" s="320"/>
      <c r="T98" s="320"/>
      <c r="U98" s="320"/>
      <c r="V98" s="664"/>
    </row>
    <row r="99" spans="1:22" ht="15.75">
      <c r="A99" s="663" t="s">
        <v>615</v>
      </c>
      <c r="B99" s="665" t="str">
        <f>'приложение 7.1'!B101</f>
        <v>Прочее новое строительство</v>
      </c>
      <c r="C99" s="52"/>
      <c r="D99" s="320"/>
      <c r="E99" s="320"/>
      <c r="F99" s="320"/>
      <c r="G99" s="664"/>
      <c r="H99" s="834"/>
      <c r="I99" s="320"/>
      <c r="J99" s="320"/>
      <c r="K99" s="320"/>
      <c r="L99" s="320"/>
      <c r="M99" s="52"/>
      <c r="N99" s="320"/>
      <c r="O99" s="320"/>
      <c r="P99" s="320"/>
      <c r="Q99" s="664"/>
      <c r="R99" s="52"/>
      <c r="S99" s="320"/>
      <c r="T99" s="320"/>
      <c r="U99" s="320"/>
      <c r="V99" s="664"/>
    </row>
    <row r="100" spans="1:22" ht="15.75">
      <c r="A100" s="87" t="s">
        <v>678</v>
      </c>
      <c r="B100" s="665" t="str">
        <f>'приложение 7.1'!B102</f>
        <v>КЛ-6-10 кВ</v>
      </c>
      <c r="C100" s="52"/>
      <c r="D100" s="320"/>
      <c r="E100" s="320"/>
      <c r="F100" s="320"/>
      <c r="G100" s="664"/>
      <c r="H100" s="834"/>
      <c r="I100" s="320"/>
      <c r="J100" s="320"/>
      <c r="K100" s="320"/>
      <c r="L100" s="320"/>
      <c r="M100" s="52"/>
      <c r="N100" s="320"/>
      <c r="O100" s="320"/>
      <c r="P100" s="320"/>
      <c r="Q100" s="664"/>
      <c r="R100" s="52"/>
      <c r="S100" s="320"/>
      <c r="T100" s="320"/>
      <c r="U100" s="320"/>
      <c r="V100" s="664"/>
    </row>
    <row r="101" spans="1:22" ht="15.75">
      <c r="A101" s="663" t="s">
        <v>679</v>
      </c>
      <c r="B101" s="665" t="str">
        <f>'приложение 7.1'!B103</f>
        <v>РП-6-10 кВ</v>
      </c>
      <c r="C101" s="52"/>
      <c r="D101" s="320"/>
      <c r="E101" s="320"/>
      <c r="F101" s="320"/>
      <c r="G101" s="664"/>
      <c r="H101" s="52"/>
      <c r="I101" s="320"/>
      <c r="J101" s="320"/>
      <c r="K101" s="344"/>
      <c r="L101" s="30"/>
      <c r="M101" s="52"/>
      <c r="N101" s="320"/>
      <c r="O101" s="320"/>
      <c r="P101" s="344"/>
      <c r="Q101" s="30"/>
      <c r="R101" s="52"/>
      <c r="S101" s="320"/>
      <c r="T101" s="320"/>
      <c r="U101" s="320"/>
      <c r="V101" s="664"/>
    </row>
    <row r="102" spans="1:22" ht="15.75">
      <c r="A102" s="663" t="s">
        <v>865</v>
      </c>
      <c r="B102" s="665" t="str">
        <f>'приложение 7.1'!B104</f>
        <v>ТП-6-10/0.4 кВ</v>
      </c>
      <c r="C102" s="52"/>
      <c r="D102" s="320"/>
      <c r="E102" s="320"/>
      <c r="F102" s="320"/>
      <c r="G102" s="664"/>
      <c r="H102" s="834"/>
      <c r="I102" s="320"/>
      <c r="J102" s="320"/>
      <c r="K102" s="320"/>
      <c r="L102" s="320"/>
      <c r="M102" s="52" t="s">
        <v>598</v>
      </c>
      <c r="N102" s="320" t="s">
        <v>598</v>
      </c>
      <c r="O102" s="320" t="s">
        <v>598</v>
      </c>
      <c r="P102" s="344" t="s">
        <v>598</v>
      </c>
      <c r="Q102" s="30" t="s">
        <v>598</v>
      </c>
      <c r="R102" s="52"/>
      <c r="S102" s="320"/>
      <c r="T102" s="320"/>
      <c r="U102" s="320"/>
      <c r="V102" s="664"/>
    </row>
    <row r="103" spans="1:22" ht="99" customHeight="1">
      <c r="A103" s="663" t="s">
        <v>616</v>
      </c>
      <c r="B103" s="665" t="str">
        <f>'приложение 7.1'!B105</f>
        <v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v>
      </c>
      <c r="C103" s="52"/>
      <c r="D103" s="320"/>
      <c r="E103" s="320"/>
      <c r="F103" s="320"/>
      <c r="G103" s="664"/>
      <c r="H103" s="834"/>
      <c r="I103" s="320"/>
      <c r="J103" s="320"/>
      <c r="K103" s="320"/>
      <c r="L103" s="320"/>
      <c r="M103" s="52"/>
      <c r="N103" s="320"/>
      <c r="O103" s="320"/>
      <c r="P103" s="320"/>
      <c r="Q103" s="664"/>
      <c r="R103" s="52"/>
      <c r="S103" s="320"/>
      <c r="T103" s="320"/>
      <c r="U103" s="320"/>
      <c r="V103" s="664"/>
    </row>
    <row r="104" spans="1:22" ht="15.75">
      <c r="A104" s="663" t="s">
        <v>680</v>
      </c>
      <c r="B104" s="665" t="str">
        <f>'приложение 7.1'!B106</f>
        <v>КЛ-6-10 кВ</v>
      </c>
      <c r="C104" s="52"/>
      <c r="D104" s="320"/>
      <c r="E104" s="320"/>
      <c r="F104" s="320"/>
      <c r="G104" s="664"/>
      <c r="H104" s="834"/>
      <c r="I104" s="320"/>
      <c r="J104" s="320"/>
      <c r="K104" s="320"/>
      <c r="L104" s="320"/>
      <c r="M104" s="52"/>
      <c r="N104" s="320"/>
      <c r="O104" s="320"/>
      <c r="P104" s="320"/>
      <c r="Q104" s="664"/>
      <c r="R104" s="52"/>
      <c r="S104" s="320"/>
      <c r="T104" s="320"/>
      <c r="U104" s="320"/>
      <c r="V104" s="664"/>
    </row>
    <row r="105" spans="1:22" ht="15.75">
      <c r="A105" s="663" t="s">
        <v>901</v>
      </c>
      <c r="B105" s="665" t="str">
        <f>'приложение 7.1'!B107</f>
        <v>г.Чебоксары</v>
      </c>
      <c r="C105" s="52"/>
      <c r="D105" s="320"/>
      <c r="E105" s="320"/>
      <c r="F105" s="320"/>
      <c r="G105" s="664"/>
      <c r="H105" s="52"/>
      <c r="I105" s="320"/>
      <c r="J105" s="320"/>
      <c r="K105" s="320"/>
      <c r="L105" s="664"/>
      <c r="M105" s="52"/>
      <c r="N105" s="320"/>
      <c r="O105" s="320"/>
      <c r="P105" s="320"/>
      <c r="Q105" s="664"/>
      <c r="R105" s="52"/>
      <c r="S105" s="320"/>
      <c r="T105" s="320"/>
      <c r="U105" s="320"/>
      <c r="V105" s="664"/>
    </row>
    <row r="106" spans="1:22" ht="42" customHeight="1">
      <c r="A106" s="663">
        <v>1</v>
      </c>
      <c r="B106" s="666" t="str">
        <f>'приложение 7.1'!B108</f>
        <v> КЛ-6 кВ для электроснабжения 7-8 этажного ж/д по ул.Фучика</v>
      </c>
      <c r="C106" s="52" t="s">
        <v>598</v>
      </c>
      <c r="D106" s="320" t="s">
        <v>598</v>
      </c>
      <c r="E106" s="320" t="s">
        <v>598</v>
      </c>
      <c r="F106" s="320" t="str">
        <f>'приложение 7.2'!AE107</f>
        <v>2х0,88км</v>
      </c>
      <c r="G106" s="664" t="str">
        <f>F106</f>
        <v>2х0,88км</v>
      </c>
      <c r="H106" s="52" t="s">
        <v>598</v>
      </c>
      <c r="I106" s="320" t="s">
        <v>598</v>
      </c>
      <c r="J106" s="320" t="s">
        <v>598</v>
      </c>
      <c r="K106" s="320" t="str">
        <f aca="true" t="shared" si="31" ref="K106:K115">F106</f>
        <v>2х0,88км</v>
      </c>
      <c r="L106" s="320" t="str">
        <f aca="true" t="shared" si="32" ref="L106:L115">G106</f>
        <v>2х0,88км</v>
      </c>
      <c r="M106" s="52" t="str">
        <f aca="true" t="shared" si="33" ref="M106:M111">C106</f>
        <v>-</v>
      </c>
      <c r="N106" s="320" t="str">
        <f aca="true" t="shared" si="34" ref="N106:N111">D106</f>
        <v>-</v>
      </c>
      <c r="O106" s="320" t="str">
        <f aca="true" t="shared" si="35" ref="O106:O111">E106</f>
        <v>-</v>
      </c>
      <c r="P106" s="344" t="s">
        <v>598</v>
      </c>
      <c r="Q106" s="30" t="s">
        <v>598</v>
      </c>
      <c r="R106" s="52"/>
      <c r="S106" s="320"/>
      <c r="T106" s="320"/>
      <c r="U106" s="320"/>
      <c r="V106" s="664"/>
    </row>
    <row r="107" spans="1:22" ht="67.5" customHeight="1">
      <c r="A107" s="663">
        <v>2</v>
      </c>
      <c r="B107" s="666" t="str">
        <f>'приложение 7.1'!B109</f>
        <v>Строительство КЛ-6 кВ от ГПП ХБК до нового РП в районе ТП-516 по ул. Гагарина,45а и от РП до ТП-111, г.Чебоксары (2 очередь)</v>
      </c>
      <c r="C107" s="52" t="s">
        <v>598</v>
      </c>
      <c r="D107" s="320" t="s">
        <v>598</v>
      </c>
      <c r="E107" s="320" t="s">
        <v>598</v>
      </c>
      <c r="F107" s="320" t="str">
        <f>'приложение 7.2'!AE108</f>
        <v>4х0,967км</v>
      </c>
      <c r="G107" s="664" t="str">
        <f>F107</f>
        <v>4х0,967км</v>
      </c>
      <c r="H107" s="52" t="s">
        <v>598</v>
      </c>
      <c r="I107" s="320" t="s">
        <v>598</v>
      </c>
      <c r="J107" s="320" t="s">
        <v>598</v>
      </c>
      <c r="K107" s="320" t="str">
        <f t="shared" si="31"/>
        <v>4х0,967км</v>
      </c>
      <c r="L107" s="320" t="str">
        <f t="shared" si="32"/>
        <v>4х0,967км</v>
      </c>
      <c r="M107" s="52" t="str">
        <f t="shared" si="33"/>
        <v>-</v>
      </c>
      <c r="N107" s="320" t="str">
        <f t="shared" si="34"/>
        <v>-</v>
      </c>
      <c r="O107" s="320" t="str">
        <f t="shared" si="35"/>
        <v>-</v>
      </c>
      <c r="P107" s="344" t="s">
        <v>598</v>
      </c>
      <c r="Q107" s="30" t="s">
        <v>598</v>
      </c>
      <c r="R107" s="52"/>
      <c r="S107" s="320"/>
      <c r="T107" s="320"/>
      <c r="U107" s="320"/>
      <c r="V107" s="664"/>
    </row>
    <row r="108" spans="1:22" ht="67.5" customHeight="1">
      <c r="A108" s="663">
        <v>3</v>
      </c>
      <c r="B108" s="666" t="str">
        <f>'приложение 7.1'!B110</f>
        <v>Строительство КЛ-6 кВ от ГПП ХБК до нового РП в районе ж/д 7/46 по ул. Гайдара и от РП до ТП-107, г.Чебоксары (1 очередь)</v>
      </c>
      <c r="C108" s="52" t="s">
        <v>598</v>
      </c>
      <c r="D108" s="320" t="s">
        <v>598</v>
      </c>
      <c r="E108" s="320" t="s">
        <v>598</v>
      </c>
      <c r="F108" s="344" t="str">
        <f>'приложение 7.2'!AE109</f>
        <v>4х0,433км</v>
      </c>
      <c r="G108" s="344" t="str">
        <f>F108</f>
        <v>4х0,433км</v>
      </c>
      <c r="H108" s="52" t="s">
        <v>598</v>
      </c>
      <c r="I108" s="320" t="s">
        <v>598</v>
      </c>
      <c r="J108" s="320" t="s">
        <v>598</v>
      </c>
      <c r="K108" s="320" t="str">
        <f t="shared" si="31"/>
        <v>4х0,433км</v>
      </c>
      <c r="L108" s="320" t="str">
        <f t="shared" si="32"/>
        <v>4х0,433км</v>
      </c>
      <c r="M108" s="52" t="str">
        <f t="shared" si="33"/>
        <v>-</v>
      </c>
      <c r="N108" s="320" t="str">
        <f t="shared" si="34"/>
        <v>-</v>
      </c>
      <c r="O108" s="320" t="str">
        <f t="shared" si="35"/>
        <v>-</v>
      </c>
      <c r="P108" s="344" t="s">
        <v>598</v>
      </c>
      <c r="Q108" s="30" t="s">
        <v>598</v>
      </c>
      <c r="R108" s="52"/>
      <c r="S108" s="320"/>
      <c r="T108" s="320"/>
      <c r="U108" s="320"/>
      <c r="V108" s="664"/>
    </row>
    <row r="109" spans="1:22" ht="53.25" customHeight="1">
      <c r="A109" s="663">
        <v>4</v>
      </c>
      <c r="B109" s="666" t="str">
        <f>'приложение 7.1'!B111</f>
        <v>КЛ-6 кВ от РП-29 до ТП №697 (ТП-1) Гремяческий проезд, г.Чебоксары</v>
      </c>
      <c r="C109" s="52"/>
      <c r="D109" s="320"/>
      <c r="E109" s="320"/>
      <c r="F109" s="320" t="str">
        <f>'приложение 7.2'!AE110</f>
        <v>2х0,87км</v>
      </c>
      <c r="G109" s="320" t="s">
        <v>833</v>
      </c>
      <c r="H109" s="52" t="s">
        <v>598</v>
      </c>
      <c r="I109" s="320" t="s">
        <v>598</v>
      </c>
      <c r="J109" s="320" t="s">
        <v>598</v>
      </c>
      <c r="K109" s="320" t="str">
        <f t="shared" si="31"/>
        <v>2х0,87км</v>
      </c>
      <c r="L109" s="320" t="str">
        <f t="shared" si="32"/>
        <v>2х1,516 км</v>
      </c>
      <c r="M109" s="52" t="s">
        <v>598</v>
      </c>
      <c r="N109" s="320" t="s">
        <v>598</v>
      </c>
      <c r="O109" s="320" t="s">
        <v>598</v>
      </c>
      <c r="P109" s="344" t="s">
        <v>598</v>
      </c>
      <c r="Q109" s="30" t="s">
        <v>598</v>
      </c>
      <c r="R109" s="52"/>
      <c r="S109" s="320"/>
      <c r="T109" s="320"/>
      <c r="U109" s="320"/>
      <c r="V109" s="664"/>
    </row>
    <row r="110" spans="1:22" ht="66.75" customHeight="1">
      <c r="A110" s="663">
        <v>5</v>
      </c>
      <c r="B110" s="666" t="str">
        <f>'приложение 7.1'!B112</f>
        <v>Строительство КЛ-10 кВ от ПС "Новый город" до РП-3 в жилом районе "Новый город", г.Чебоксары</v>
      </c>
      <c r="C110" s="52" t="s">
        <v>598</v>
      </c>
      <c r="D110" s="320" t="s">
        <v>598</v>
      </c>
      <c r="E110" s="320" t="s">
        <v>598</v>
      </c>
      <c r="F110" s="320" t="str">
        <f>'приложение 7.2'!AE111</f>
        <v>2х1,52 км</v>
      </c>
      <c r="G110" s="664" t="str">
        <f aca="true" t="shared" si="36" ref="G110:G115">F110</f>
        <v>2х1,52 км</v>
      </c>
      <c r="H110" s="52" t="s">
        <v>598</v>
      </c>
      <c r="I110" s="320" t="s">
        <v>598</v>
      </c>
      <c r="J110" s="320" t="s">
        <v>598</v>
      </c>
      <c r="K110" s="320" t="str">
        <f t="shared" si="31"/>
        <v>2х1,52 км</v>
      </c>
      <c r="L110" s="320" t="str">
        <f t="shared" si="32"/>
        <v>2х1,52 км</v>
      </c>
      <c r="M110" s="52" t="str">
        <f t="shared" si="33"/>
        <v>-</v>
      </c>
      <c r="N110" s="320" t="str">
        <f t="shared" si="34"/>
        <v>-</v>
      </c>
      <c r="O110" s="320" t="str">
        <f t="shared" si="35"/>
        <v>-</v>
      </c>
      <c r="P110" s="344" t="s">
        <v>598</v>
      </c>
      <c r="Q110" s="30" t="s">
        <v>598</v>
      </c>
      <c r="R110" s="52"/>
      <c r="S110" s="320"/>
      <c r="T110" s="320"/>
      <c r="U110" s="320"/>
      <c r="V110" s="664"/>
    </row>
    <row r="111" spans="1:22" ht="50.25" customHeight="1">
      <c r="A111" s="663">
        <v>6</v>
      </c>
      <c r="B111" s="666" t="str">
        <f>'приложение 7.1'!B113</f>
        <v>Строительство КЛ-10 кВ от ПС "Новый город" до РП-40 совместно с РП-3 (1 очередь)</v>
      </c>
      <c r="C111" s="52" t="s">
        <v>598</v>
      </c>
      <c r="D111" s="320" t="s">
        <v>598</v>
      </c>
      <c r="E111" s="320" t="s">
        <v>598</v>
      </c>
      <c r="F111" s="320" t="str">
        <f>'приложение 7.2'!AE112</f>
        <v>4х1,3 км</v>
      </c>
      <c r="G111" s="664" t="str">
        <f t="shared" si="36"/>
        <v>4х1,3 км</v>
      </c>
      <c r="H111" s="52" t="s">
        <v>598</v>
      </c>
      <c r="I111" s="320" t="s">
        <v>598</v>
      </c>
      <c r="J111" s="320" t="s">
        <v>598</v>
      </c>
      <c r="K111" s="344" t="str">
        <f t="shared" si="31"/>
        <v>4х1,3 км</v>
      </c>
      <c r="L111" s="30" t="str">
        <f t="shared" si="32"/>
        <v>4х1,3 км</v>
      </c>
      <c r="M111" s="52" t="str">
        <f t="shared" si="33"/>
        <v>-</v>
      </c>
      <c r="N111" s="320" t="str">
        <f t="shared" si="34"/>
        <v>-</v>
      </c>
      <c r="O111" s="320" t="str">
        <f t="shared" si="35"/>
        <v>-</v>
      </c>
      <c r="P111" s="344" t="s">
        <v>598</v>
      </c>
      <c r="Q111" s="30" t="s">
        <v>598</v>
      </c>
      <c r="R111" s="52"/>
      <c r="S111" s="320"/>
      <c r="T111" s="320"/>
      <c r="U111" s="320"/>
      <c r="V111" s="664"/>
    </row>
    <row r="112" spans="1:22" ht="50.25" customHeight="1">
      <c r="A112" s="663">
        <v>7</v>
      </c>
      <c r="B112" s="666" t="str">
        <f>'приложение 7.1'!B114</f>
        <v> Участок КЛ-6 кВ от ПС 110/6кВ ТЭЦ-1 до новой РП-6 кВ по ул.Николаева</v>
      </c>
      <c r="C112" s="52" t="s">
        <v>598</v>
      </c>
      <c r="D112" s="320" t="s">
        <v>598</v>
      </c>
      <c r="E112" s="320" t="s">
        <v>598</v>
      </c>
      <c r="F112" s="320" t="str">
        <f>'приложение 7.2'!AE113</f>
        <v>4х1,3 км</v>
      </c>
      <c r="G112" s="664" t="str">
        <f t="shared" si="36"/>
        <v>4х1,3 км</v>
      </c>
      <c r="H112" s="52" t="s">
        <v>598</v>
      </c>
      <c r="I112" s="320" t="s">
        <v>598</v>
      </c>
      <c r="J112" s="320" t="s">
        <v>598</v>
      </c>
      <c r="K112" s="344" t="str">
        <f t="shared" si="31"/>
        <v>4х1,3 км</v>
      </c>
      <c r="L112" s="30" t="str">
        <f t="shared" si="32"/>
        <v>4х1,3 км</v>
      </c>
      <c r="M112" s="52" t="str">
        <f aca="true" t="shared" si="37" ref="M112:O115">C112</f>
        <v>-</v>
      </c>
      <c r="N112" s="320" t="str">
        <f t="shared" si="37"/>
        <v>-</v>
      </c>
      <c r="O112" s="320" t="str">
        <f t="shared" si="37"/>
        <v>-</v>
      </c>
      <c r="P112" s="344" t="s">
        <v>598</v>
      </c>
      <c r="Q112" s="30" t="s">
        <v>598</v>
      </c>
      <c r="R112" s="52"/>
      <c r="S112" s="320"/>
      <c r="T112" s="320"/>
      <c r="U112" s="320"/>
      <c r="V112" s="664"/>
    </row>
    <row r="113" spans="1:22" ht="50.25" customHeight="1">
      <c r="A113" s="663">
        <v>7</v>
      </c>
      <c r="B113" s="666" t="str">
        <f>'приложение 7.1'!B115</f>
        <v>Участок кабельной линии от ул.Кузнечная до проектируемой РП-6 кВ по ул.Энгельса (строящаяся КЛ-6 кВ от ПС 110/6 кВ "ТЭЦ-1" до РП-6 кВ по ул.Энгельса, г.Чебоксары)</v>
      </c>
      <c r="C113" s="52" t="s">
        <v>598</v>
      </c>
      <c r="D113" s="320" t="s">
        <v>598</v>
      </c>
      <c r="E113" s="320" t="s">
        <v>598</v>
      </c>
      <c r="F113" s="320" t="str">
        <f>'приложение 7.2'!AE114</f>
        <v>4х1,3 км</v>
      </c>
      <c r="G113" s="664" t="str">
        <f t="shared" si="36"/>
        <v>4х1,3 км</v>
      </c>
      <c r="H113" s="52" t="s">
        <v>598</v>
      </c>
      <c r="I113" s="320" t="s">
        <v>598</v>
      </c>
      <c r="J113" s="320" t="s">
        <v>598</v>
      </c>
      <c r="K113" s="344" t="str">
        <f t="shared" si="31"/>
        <v>4х1,3 км</v>
      </c>
      <c r="L113" s="30" t="str">
        <f t="shared" si="32"/>
        <v>4х1,3 км</v>
      </c>
      <c r="M113" s="52" t="str">
        <f t="shared" si="37"/>
        <v>-</v>
      </c>
      <c r="N113" s="320" t="str">
        <f t="shared" si="37"/>
        <v>-</v>
      </c>
      <c r="O113" s="320" t="str">
        <f t="shared" si="37"/>
        <v>-</v>
      </c>
      <c r="P113" s="344" t="s">
        <v>598</v>
      </c>
      <c r="Q113" s="30" t="s">
        <v>598</v>
      </c>
      <c r="R113" s="52"/>
      <c r="S113" s="320"/>
      <c r="T113" s="320"/>
      <c r="U113" s="320"/>
      <c r="V113" s="664"/>
    </row>
    <row r="114" spans="1:22" ht="50.25" customHeight="1">
      <c r="A114" s="663">
        <v>7</v>
      </c>
      <c r="B114" s="666" t="str">
        <f>'приложение 7.1'!B116</f>
        <v>Разработка рабочей документации и выполнение строительно-монтажных работ по объекту ТП-10кВ, КЛ-10кВи ВЛИ-0,4 кВот ТП-523 до садовых домиков в р-не НСТ Чапаевец", г.Чебоксары</v>
      </c>
      <c r="C114" s="52" t="s">
        <v>598</v>
      </c>
      <c r="D114" s="320" t="s">
        <v>598</v>
      </c>
      <c r="E114" s="320" t="s">
        <v>598</v>
      </c>
      <c r="F114" s="320" t="str">
        <f>'приложение 7.2'!AE115</f>
        <v>4х1,3 км</v>
      </c>
      <c r="G114" s="664" t="str">
        <f t="shared" si="36"/>
        <v>4х1,3 км</v>
      </c>
      <c r="H114" s="52" t="s">
        <v>598</v>
      </c>
      <c r="I114" s="320" t="s">
        <v>598</v>
      </c>
      <c r="J114" s="320" t="s">
        <v>598</v>
      </c>
      <c r="K114" s="344" t="str">
        <f t="shared" si="31"/>
        <v>4х1,3 км</v>
      </c>
      <c r="L114" s="30" t="str">
        <f t="shared" si="32"/>
        <v>4х1,3 км</v>
      </c>
      <c r="M114" s="52" t="str">
        <f t="shared" si="37"/>
        <v>-</v>
      </c>
      <c r="N114" s="320" t="str">
        <f t="shared" si="37"/>
        <v>-</v>
      </c>
      <c r="O114" s="320" t="str">
        <f t="shared" si="37"/>
        <v>-</v>
      </c>
      <c r="P114" s="344" t="s">
        <v>598</v>
      </c>
      <c r="Q114" s="30" t="s">
        <v>598</v>
      </c>
      <c r="R114" s="52"/>
      <c r="S114" s="320"/>
      <c r="T114" s="320"/>
      <c r="U114" s="320"/>
      <c r="V114" s="664"/>
    </row>
    <row r="115" spans="1:22" ht="50.25" customHeight="1">
      <c r="A115" s="663">
        <v>7</v>
      </c>
      <c r="B115" s="666" t="str">
        <f>'приложение 7.1'!B117</f>
        <v>Разработка рабочей документации и выполнение строительно-монтажных работ КЛ-6 кВ от опоры №12 ВЛ-6 кВ (ТП-149 - ТП-128) до ТП-6/0,4кВ, расположенной по ул.Нефтебазовая, г.Чебоксары</v>
      </c>
      <c r="C115" s="52" t="s">
        <v>598</v>
      </c>
      <c r="D115" s="320" t="s">
        <v>598</v>
      </c>
      <c r="E115" s="320" t="s">
        <v>598</v>
      </c>
      <c r="F115" s="320" t="str">
        <f>'приложение 7.2'!AE116</f>
        <v>4х1,3 км</v>
      </c>
      <c r="G115" s="664" t="str">
        <f t="shared" si="36"/>
        <v>4х1,3 км</v>
      </c>
      <c r="H115" s="52" t="s">
        <v>598</v>
      </c>
      <c r="I115" s="320" t="s">
        <v>598</v>
      </c>
      <c r="J115" s="320" t="s">
        <v>598</v>
      </c>
      <c r="K115" s="344" t="str">
        <f t="shared" si="31"/>
        <v>4х1,3 км</v>
      </c>
      <c r="L115" s="30" t="str">
        <f t="shared" si="32"/>
        <v>4х1,3 км</v>
      </c>
      <c r="M115" s="52" t="str">
        <f t="shared" si="37"/>
        <v>-</v>
      </c>
      <c r="N115" s="320" t="str">
        <f t="shared" si="37"/>
        <v>-</v>
      </c>
      <c r="O115" s="320" t="str">
        <f t="shared" si="37"/>
        <v>-</v>
      </c>
      <c r="P115" s="344" t="s">
        <v>598</v>
      </c>
      <c r="Q115" s="30" t="s">
        <v>598</v>
      </c>
      <c r="R115" s="52"/>
      <c r="S115" s="320"/>
      <c r="T115" s="320"/>
      <c r="U115" s="320"/>
      <c r="V115" s="664"/>
    </row>
    <row r="116" spans="1:22" ht="15.75">
      <c r="A116" s="663" t="s">
        <v>681</v>
      </c>
      <c r="B116" s="665" t="str">
        <f>'приложение 7.1'!B118</f>
        <v>ТП, РП-6-10 кВ</v>
      </c>
      <c r="C116" s="52"/>
      <c r="D116" s="320"/>
      <c r="E116" s="320"/>
      <c r="F116" s="320"/>
      <c r="G116" s="664"/>
      <c r="H116" s="834"/>
      <c r="I116" s="320"/>
      <c r="J116" s="320"/>
      <c r="K116" s="320"/>
      <c r="L116" s="320"/>
      <c r="M116" s="52"/>
      <c r="N116" s="320"/>
      <c r="O116" s="320"/>
      <c r="P116" s="320"/>
      <c r="Q116" s="664"/>
      <c r="R116" s="52"/>
      <c r="S116" s="320"/>
      <c r="T116" s="320"/>
      <c r="U116" s="320"/>
      <c r="V116" s="664"/>
    </row>
    <row r="117" spans="1:22" ht="15.75">
      <c r="A117" s="663" t="s">
        <v>902</v>
      </c>
      <c r="B117" s="665" t="str">
        <f>'приложение 7.1'!B119</f>
        <v>г.Чебоксары</v>
      </c>
      <c r="C117" s="52"/>
      <c r="D117" s="320"/>
      <c r="E117" s="320"/>
      <c r="F117" s="320"/>
      <c r="G117" s="664"/>
      <c r="H117" s="52"/>
      <c r="I117" s="320"/>
      <c r="J117" s="320"/>
      <c r="K117" s="320"/>
      <c r="L117" s="664"/>
      <c r="M117" s="52"/>
      <c r="N117" s="320"/>
      <c r="O117" s="320"/>
      <c r="P117" s="320"/>
      <c r="Q117" s="664"/>
      <c r="R117" s="52"/>
      <c r="S117" s="320"/>
      <c r="T117" s="320"/>
      <c r="U117" s="320"/>
      <c r="V117" s="664"/>
    </row>
    <row r="118" spans="1:22" ht="42" customHeight="1">
      <c r="A118" s="663">
        <v>1</v>
      </c>
      <c r="B118" s="666" t="str">
        <f>'приложение 7.1'!B120</f>
        <v>ТП-10 кВ для электроснабжения 7-8 этажного ж/д по ул.Фучика</v>
      </c>
      <c r="C118" s="52" t="s">
        <v>598</v>
      </c>
      <c r="D118" s="320" t="s">
        <v>598</v>
      </c>
      <c r="E118" s="320" t="s">
        <v>598</v>
      </c>
      <c r="F118" s="320" t="str">
        <f>'приложение 7.2'!Z119</f>
        <v>0,8мВА</v>
      </c>
      <c r="G118" s="664" t="str">
        <f aca="true" t="shared" si="38" ref="G118:G124">F118</f>
        <v>0,8мВА</v>
      </c>
      <c r="H118" s="52" t="s">
        <v>598</v>
      </c>
      <c r="I118" s="320" t="s">
        <v>598</v>
      </c>
      <c r="J118" s="320" t="s">
        <v>598</v>
      </c>
      <c r="K118" s="344" t="str">
        <f aca="true" t="shared" si="39" ref="K118:L121">F118</f>
        <v>0,8мВА</v>
      </c>
      <c r="L118" s="30" t="str">
        <f t="shared" si="39"/>
        <v>0,8мВА</v>
      </c>
      <c r="M118" s="52" t="str">
        <f aca="true" t="shared" si="40" ref="M118:O119">C118</f>
        <v>-</v>
      </c>
      <c r="N118" s="320" t="str">
        <f t="shared" si="40"/>
        <v>-</v>
      </c>
      <c r="O118" s="320" t="str">
        <f t="shared" si="40"/>
        <v>-</v>
      </c>
      <c r="P118" s="344" t="s">
        <v>598</v>
      </c>
      <c r="Q118" s="30" t="s">
        <v>598</v>
      </c>
      <c r="R118" s="52"/>
      <c r="S118" s="320"/>
      <c r="T118" s="320"/>
      <c r="U118" s="320"/>
      <c r="V118" s="664"/>
    </row>
    <row r="119" spans="1:22" ht="39" customHeight="1">
      <c r="A119" s="663">
        <v>2</v>
      </c>
      <c r="B119" s="666" t="str">
        <f>'приложение 7.1'!B121</f>
        <v>Строительство РП-№3в мкр. "Новый город"</v>
      </c>
      <c r="C119" s="52" t="s">
        <v>598</v>
      </c>
      <c r="D119" s="320" t="s">
        <v>598</v>
      </c>
      <c r="E119" s="320" t="s">
        <v>598</v>
      </c>
      <c r="F119" s="320" t="str">
        <f>'приложение 7.2'!Z120</f>
        <v>1 шт.</v>
      </c>
      <c r="G119" s="664" t="str">
        <f t="shared" si="38"/>
        <v>1 шт.</v>
      </c>
      <c r="H119" s="52" t="s">
        <v>598</v>
      </c>
      <c r="I119" s="320" t="s">
        <v>598</v>
      </c>
      <c r="J119" s="320" t="s">
        <v>598</v>
      </c>
      <c r="K119" s="344" t="str">
        <f t="shared" si="39"/>
        <v>1 шт.</v>
      </c>
      <c r="L119" s="30" t="str">
        <f t="shared" si="39"/>
        <v>1 шт.</v>
      </c>
      <c r="M119" s="52" t="str">
        <f t="shared" si="40"/>
        <v>-</v>
      </c>
      <c r="N119" s="320" t="str">
        <f t="shared" si="40"/>
        <v>-</v>
      </c>
      <c r="O119" s="320" t="str">
        <f t="shared" si="40"/>
        <v>-</v>
      </c>
      <c r="P119" s="344" t="s">
        <v>598</v>
      </c>
      <c r="Q119" s="30" t="s">
        <v>598</v>
      </c>
      <c r="R119" s="52"/>
      <c r="S119" s="320"/>
      <c r="T119" s="320"/>
      <c r="U119" s="320"/>
      <c r="V119" s="664"/>
    </row>
    <row r="120" spans="1:22" ht="39" customHeight="1">
      <c r="A120" s="663">
        <v>3</v>
      </c>
      <c r="B120" s="666" t="str">
        <f>'приложение 7.1'!B122</f>
        <v>РП-6 кВ по ул.Николаева </v>
      </c>
      <c r="C120" s="52" t="s">
        <v>598</v>
      </c>
      <c r="D120" s="320" t="s">
        <v>598</v>
      </c>
      <c r="E120" s="320" t="s">
        <v>598</v>
      </c>
      <c r="F120" s="320" t="str">
        <f>'приложение 7.2'!Z121</f>
        <v>1 шт.</v>
      </c>
      <c r="G120" s="664" t="str">
        <f t="shared" si="38"/>
        <v>1 шт.</v>
      </c>
      <c r="H120" s="52" t="s">
        <v>598</v>
      </c>
      <c r="I120" s="320" t="s">
        <v>598</v>
      </c>
      <c r="J120" s="320" t="s">
        <v>598</v>
      </c>
      <c r="K120" s="344" t="str">
        <f t="shared" si="39"/>
        <v>1 шт.</v>
      </c>
      <c r="L120" s="30" t="str">
        <f t="shared" si="39"/>
        <v>1 шт.</v>
      </c>
      <c r="M120" s="52" t="str">
        <f aca="true" t="shared" si="41" ref="M120:O124">C120</f>
        <v>-</v>
      </c>
      <c r="N120" s="320" t="str">
        <f t="shared" si="41"/>
        <v>-</v>
      </c>
      <c r="O120" s="320" t="str">
        <f t="shared" si="41"/>
        <v>-</v>
      </c>
      <c r="P120" s="344" t="s">
        <v>598</v>
      </c>
      <c r="Q120" s="30" t="s">
        <v>598</v>
      </c>
      <c r="R120" s="52"/>
      <c r="S120" s="320"/>
      <c r="T120" s="320"/>
      <c r="U120" s="320"/>
      <c r="V120" s="664"/>
    </row>
    <row r="121" spans="1:22" ht="39" customHeight="1">
      <c r="A121" s="663">
        <v>4</v>
      </c>
      <c r="B121" s="666" t="str">
        <f>'приложение 7.1'!B123</f>
        <v>РП-6 кВ по ул.Гагарина </v>
      </c>
      <c r="C121" s="52" t="s">
        <v>598</v>
      </c>
      <c r="D121" s="320" t="s">
        <v>598</v>
      </c>
      <c r="E121" s="320" t="s">
        <v>598</v>
      </c>
      <c r="F121" s="320" t="str">
        <f>'приложение 7.2'!Z122</f>
        <v>1 шт.</v>
      </c>
      <c r="G121" s="664" t="str">
        <f t="shared" si="38"/>
        <v>1 шт.</v>
      </c>
      <c r="H121" s="52" t="s">
        <v>598</v>
      </c>
      <c r="I121" s="320" t="s">
        <v>598</v>
      </c>
      <c r="J121" s="320" t="s">
        <v>598</v>
      </c>
      <c r="K121" s="344" t="str">
        <f t="shared" si="39"/>
        <v>1 шт.</v>
      </c>
      <c r="L121" s="30" t="str">
        <f t="shared" si="39"/>
        <v>1 шт.</v>
      </c>
      <c r="M121" s="52" t="str">
        <f t="shared" si="41"/>
        <v>-</v>
      </c>
      <c r="N121" s="320" t="str">
        <f t="shared" si="41"/>
        <v>-</v>
      </c>
      <c r="O121" s="320" t="str">
        <f t="shared" si="41"/>
        <v>-</v>
      </c>
      <c r="P121" s="344" t="s">
        <v>598</v>
      </c>
      <c r="Q121" s="30" t="s">
        <v>598</v>
      </c>
      <c r="R121" s="52"/>
      <c r="S121" s="320"/>
      <c r="T121" s="320"/>
      <c r="U121" s="320"/>
      <c r="V121" s="664"/>
    </row>
    <row r="122" spans="1:22" ht="39" customHeight="1">
      <c r="A122" s="663">
        <v>5</v>
      </c>
      <c r="B122" s="666" t="str">
        <f>'приложение 7.1'!B124</f>
        <v>Строительство КТПНБ-630/ 6/0,4 кВ по ул.Эльгера,г. Чебоксары  </v>
      </c>
      <c r="C122" s="52" t="s">
        <v>598</v>
      </c>
      <c r="D122" s="320" t="s">
        <v>598</v>
      </c>
      <c r="E122" s="320" t="s">
        <v>598</v>
      </c>
      <c r="F122" s="320" t="s">
        <v>598</v>
      </c>
      <c r="G122" s="664" t="str">
        <f t="shared" si="38"/>
        <v>-</v>
      </c>
      <c r="H122" s="52" t="s">
        <v>598</v>
      </c>
      <c r="I122" s="320" t="s">
        <v>598</v>
      </c>
      <c r="J122" s="320" t="s">
        <v>598</v>
      </c>
      <c r="K122" s="320" t="s">
        <v>598</v>
      </c>
      <c r="L122" s="320" t="s">
        <v>598</v>
      </c>
      <c r="M122" s="52" t="str">
        <f t="shared" si="41"/>
        <v>-</v>
      </c>
      <c r="N122" s="320" t="str">
        <f t="shared" si="41"/>
        <v>-</v>
      </c>
      <c r="O122" s="320" t="str">
        <f t="shared" si="41"/>
        <v>-</v>
      </c>
      <c r="P122" s="344" t="s">
        <v>598</v>
      </c>
      <c r="Q122" s="30" t="s">
        <v>598</v>
      </c>
      <c r="R122" s="52"/>
      <c r="S122" s="320"/>
      <c r="T122" s="320"/>
      <c r="U122" s="320"/>
      <c r="V122" s="664"/>
    </row>
    <row r="123" spans="1:22" ht="39" customHeight="1">
      <c r="A123" s="663">
        <v>6</v>
      </c>
      <c r="B123" s="666" t="str">
        <f>'приложение 7.1'!B125</f>
        <v>Разработка рабочей документации "Строительство КЛ-6 и ТП взамен существующей ТП-244, для электроснабжения школы интерната для одаренных детей им.Г.С.Лебедева"  </v>
      </c>
      <c r="C123" s="52" t="s">
        <v>598</v>
      </c>
      <c r="D123" s="320" t="s">
        <v>598</v>
      </c>
      <c r="E123" s="320" t="s">
        <v>598</v>
      </c>
      <c r="F123" s="320" t="s">
        <v>598</v>
      </c>
      <c r="G123" s="664" t="str">
        <f t="shared" si="38"/>
        <v>-</v>
      </c>
      <c r="H123" s="52" t="s">
        <v>598</v>
      </c>
      <c r="I123" s="320" t="s">
        <v>598</v>
      </c>
      <c r="J123" s="320" t="s">
        <v>598</v>
      </c>
      <c r="K123" s="320" t="s">
        <v>598</v>
      </c>
      <c r="L123" s="320" t="s">
        <v>598</v>
      </c>
      <c r="M123" s="52" t="str">
        <f t="shared" si="41"/>
        <v>-</v>
      </c>
      <c r="N123" s="320" t="str">
        <f t="shared" si="41"/>
        <v>-</v>
      </c>
      <c r="O123" s="320" t="str">
        <f t="shared" si="41"/>
        <v>-</v>
      </c>
      <c r="P123" s="344" t="s">
        <v>598</v>
      </c>
      <c r="Q123" s="30" t="s">
        <v>598</v>
      </c>
      <c r="R123" s="52"/>
      <c r="S123" s="320"/>
      <c r="T123" s="320"/>
      <c r="U123" s="320"/>
      <c r="V123" s="664"/>
    </row>
    <row r="124" spans="1:22" ht="39" customHeight="1">
      <c r="A124" s="663">
        <v>7</v>
      </c>
      <c r="B124" s="666" t="str">
        <f>'приложение 7.1'!B126</f>
        <v>Разработка рабочей документации "Строительство новой КТПН взамен существующей ТП-481 в здании котельной по ул.Тополиная, д.9 г.Чебоксары."  </v>
      </c>
      <c r="C124" s="52" t="s">
        <v>598</v>
      </c>
      <c r="D124" s="320" t="s">
        <v>598</v>
      </c>
      <c r="E124" s="320" t="s">
        <v>598</v>
      </c>
      <c r="F124" s="320" t="s">
        <v>598</v>
      </c>
      <c r="G124" s="664" t="str">
        <f t="shared" si="38"/>
        <v>-</v>
      </c>
      <c r="H124" s="52" t="s">
        <v>598</v>
      </c>
      <c r="I124" s="320" t="s">
        <v>598</v>
      </c>
      <c r="J124" s="320" t="s">
        <v>598</v>
      </c>
      <c r="K124" s="320" t="s">
        <v>598</v>
      </c>
      <c r="L124" s="320" t="s">
        <v>598</v>
      </c>
      <c r="M124" s="52" t="str">
        <f t="shared" si="41"/>
        <v>-</v>
      </c>
      <c r="N124" s="320" t="str">
        <f t="shared" si="41"/>
        <v>-</v>
      </c>
      <c r="O124" s="320" t="str">
        <f t="shared" si="41"/>
        <v>-</v>
      </c>
      <c r="P124" s="344" t="s">
        <v>598</v>
      </c>
      <c r="Q124" s="30" t="s">
        <v>598</v>
      </c>
      <c r="R124" s="52"/>
      <c r="S124" s="320"/>
      <c r="T124" s="320"/>
      <c r="U124" s="320"/>
      <c r="V124" s="664"/>
    </row>
    <row r="125" spans="1:22" ht="15.75">
      <c r="A125" s="663" t="s">
        <v>903</v>
      </c>
      <c r="B125" s="665" t="str">
        <f>'приложение 7.1'!B127</f>
        <v>г.Цивильск</v>
      </c>
      <c r="C125" s="52"/>
      <c r="D125" s="320"/>
      <c r="E125" s="320"/>
      <c r="F125" s="320"/>
      <c r="G125" s="664"/>
      <c r="H125" s="52"/>
      <c r="I125" s="320"/>
      <c r="J125" s="320"/>
      <c r="K125" s="320"/>
      <c r="L125" s="664"/>
      <c r="M125" s="52"/>
      <c r="N125" s="320"/>
      <c r="O125" s="320"/>
      <c r="P125" s="320"/>
      <c r="Q125" s="664"/>
      <c r="R125" s="52"/>
      <c r="S125" s="320"/>
      <c r="T125" s="320"/>
      <c r="U125" s="320"/>
      <c r="V125" s="664"/>
    </row>
    <row r="126" spans="1:22" ht="42" customHeight="1">
      <c r="A126" s="663">
        <v>1</v>
      </c>
      <c r="B126" s="666" t="str">
        <f>'приложение 7.1'!B128</f>
        <v>ТП-10 кВ (для электроснабжения многодетных семей)</v>
      </c>
      <c r="C126" s="52" t="s">
        <v>598</v>
      </c>
      <c r="D126" s="320" t="s">
        <v>598</v>
      </c>
      <c r="E126" s="320" t="s">
        <v>598</v>
      </c>
      <c r="F126" s="320" t="str">
        <f>'приложение 7.2'!Z127</f>
        <v>0,25 мВА</v>
      </c>
      <c r="G126" s="664" t="str">
        <f>F126</f>
        <v>0,25 мВА</v>
      </c>
      <c r="H126" s="52" t="s">
        <v>598</v>
      </c>
      <c r="I126" s="320" t="s">
        <v>598</v>
      </c>
      <c r="J126" s="320" t="s">
        <v>598</v>
      </c>
      <c r="K126" s="344" t="s">
        <v>598</v>
      </c>
      <c r="L126" s="30" t="s">
        <v>598</v>
      </c>
      <c r="M126" s="52" t="str">
        <f>C126</f>
        <v>-</v>
      </c>
      <c r="N126" s="320" t="str">
        <f>D126</f>
        <v>-</v>
      </c>
      <c r="O126" s="320" t="str">
        <f>E126</f>
        <v>-</v>
      </c>
      <c r="P126" s="344" t="s">
        <v>598</v>
      </c>
      <c r="Q126" s="30" t="s">
        <v>598</v>
      </c>
      <c r="R126" s="52"/>
      <c r="S126" s="320"/>
      <c r="T126" s="320"/>
      <c r="U126" s="320"/>
      <c r="V126" s="664"/>
    </row>
    <row r="127" spans="1:22" ht="15.75">
      <c r="A127" s="663" t="s">
        <v>682</v>
      </c>
      <c r="B127" s="665" t="str">
        <f>'приложение 7.1'!B129</f>
        <v>ВЛ-0,4 кВ</v>
      </c>
      <c r="C127" s="52"/>
      <c r="D127" s="320"/>
      <c r="E127" s="320"/>
      <c r="F127" s="320"/>
      <c r="G127" s="664"/>
      <c r="H127" s="834"/>
      <c r="I127" s="320"/>
      <c r="J127" s="320"/>
      <c r="K127" s="320"/>
      <c r="L127" s="320"/>
      <c r="M127" s="52"/>
      <c r="N127" s="320"/>
      <c r="O127" s="320"/>
      <c r="P127" s="320"/>
      <c r="Q127" s="664"/>
      <c r="R127" s="52"/>
      <c r="S127" s="320"/>
      <c r="T127" s="320"/>
      <c r="U127" s="320"/>
      <c r="V127" s="664"/>
    </row>
    <row r="128" spans="1:22" ht="15.75">
      <c r="A128" s="663" t="s">
        <v>904</v>
      </c>
      <c r="B128" s="665" t="str">
        <f>'приложение 7.1'!B130</f>
        <v>г.Чебоксары</v>
      </c>
      <c r="C128" s="52"/>
      <c r="D128" s="320"/>
      <c r="E128" s="320"/>
      <c r="F128" s="320"/>
      <c r="G128" s="664"/>
      <c r="H128" s="52"/>
      <c r="I128" s="320"/>
      <c r="J128" s="320"/>
      <c r="K128" s="320"/>
      <c r="L128" s="664"/>
      <c r="M128" s="52"/>
      <c r="N128" s="320"/>
      <c r="O128" s="320"/>
      <c r="P128" s="320"/>
      <c r="Q128" s="664"/>
      <c r="R128" s="52"/>
      <c r="S128" s="320"/>
      <c r="T128" s="320"/>
      <c r="U128" s="320"/>
      <c r="V128" s="664"/>
    </row>
    <row r="129" spans="1:22" ht="78" customHeight="1">
      <c r="A129" s="663">
        <v>1</v>
      </c>
      <c r="B129" s="666" t="str">
        <f>'приложение 7.1'!B131</f>
        <v>по ул.Тальниковая, Юности, Сплавная в п.Сосновка (земельные участки для многодетных семей), разработка рабочей документации</v>
      </c>
      <c r="C129" s="52" t="s">
        <v>598</v>
      </c>
      <c r="D129" s="320" t="s">
        <v>598</v>
      </c>
      <c r="E129" s="320" t="s">
        <v>598</v>
      </c>
      <c r="F129" s="320" t="str">
        <f>'приложение 7.2'!AE130</f>
        <v>0,8 км</v>
      </c>
      <c r="G129" s="664" t="str">
        <f aca="true" t="shared" si="42" ref="G129:G136">F129</f>
        <v>0,8 км</v>
      </c>
      <c r="H129" s="52" t="s">
        <v>598</v>
      </c>
      <c r="I129" s="320" t="s">
        <v>598</v>
      </c>
      <c r="J129" s="320" t="s">
        <v>598</v>
      </c>
      <c r="K129" s="344" t="s">
        <v>598</v>
      </c>
      <c r="L129" s="30" t="s">
        <v>598</v>
      </c>
      <c r="M129" s="52" t="str">
        <f aca="true" t="shared" si="43" ref="M129:O130">C129</f>
        <v>-</v>
      </c>
      <c r="N129" s="320" t="str">
        <f t="shared" si="43"/>
        <v>-</v>
      </c>
      <c r="O129" s="320" t="str">
        <f t="shared" si="43"/>
        <v>-</v>
      </c>
      <c r="P129" s="344" t="s">
        <v>598</v>
      </c>
      <c r="Q129" s="30" t="s">
        <v>598</v>
      </c>
      <c r="R129" s="52"/>
      <c r="S129" s="320"/>
      <c r="T129" s="320"/>
      <c r="U129" s="320"/>
      <c r="V129" s="664"/>
    </row>
    <row r="130" spans="1:22" ht="78" customHeight="1">
      <c r="A130" s="663">
        <v>2</v>
      </c>
      <c r="B130" s="666" t="str">
        <f>'приложение 7.1'!B132</f>
        <v>Строительство ВЛИ-0,4 кВ, ТП кВ по ул.Новая в п.Сосновка (для электроснабжения многодетных семей), разработка рабочей документации </v>
      </c>
      <c r="C130" s="52" t="s">
        <v>598</v>
      </c>
      <c r="D130" s="320" t="s">
        <v>598</v>
      </c>
      <c r="E130" s="320" t="s">
        <v>598</v>
      </c>
      <c r="F130" s="320" t="str">
        <f>'приложение 7.2'!AE131</f>
        <v>0,4 км</v>
      </c>
      <c r="G130" s="664" t="str">
        <f t="shared" si="42"/>
        <v>0,4 км</v>
      </c>
      <c r="H130" s="52" t="s">
        <v>598</v>
      </c>
      <c r="I130" s="320" t="s">
        <v>598</v>
      </c>
      <c r="J130" s="320" t="s">
        <v>598</v>
      </c>
      <c r="K130" s="344" t="s">
        <v>598</v>
      </c>
      <c r="L130" s="30" t="s">
        <v>598</v>
      </c>
      <c r="M130" s="52" t="str">
        <f t="shared" si="43"/>
        <v>-</v>
      </c>
      <c r="N130" s="320" t="str">
        <f t="shared" si="43"/>
        <v>-</v>
      </c>
      <c r="O130" s="320" t="str">
        <f t="shared" si="43"/>
        <v>-</v>
      </c>
      <c r="P130" s="344" t="s">
        <v>598</v>
      </c>
      <c r="Q130" s="30" t="s">
        <v>598</v>
      </c>
      <c r="R130" s="52"/>
      <c r="S130" s="320"/>
      <c r="T130" s="320"/>
      <c r="U130" s="320"/>
      <c r="V130" s="664"/>
    </row>
    <row r="131" spans="1:22" ht="78" customHeight="1">
      <c r="A131" s="663">
        <v>3</v>
      </c>
      <c r="B131" s="666" t="str">
        <f>'приложение 7.1'!B133</f>
        <v>Строительство ВЛИ-0,4 кВот ТП-661 до садовых домиков в р-не НСТ "Ивушка", г.Чебоксары</v>
      </c>
      <c r="C131" s="52" t="s">
        <v>598</v>
      </c>
      <c r="D131" s="320" t="s">
        <v>598</v>
      </c>
      <c r="E131" s="320" t="s">
        <v>598</v>
      </c>
      <c r="F131" s="320" t="str">
        <f>'приложение 7.2'!AE132</f>
        <v>0,4 км</v>
      </c>
      <c r="G131" s="664" t="str">
        <f>F131</f>
        <v>0,4 км</v>
      </c>
      <c r="H131" s="52" t="s">
        <v>598</v>
      </c>
      <c r="I131" s="320" t="s">
        <v>598</v>
      </c>
      <c r="J131" s="320" t="s">
        <v>598</v>
      </c>
      <c r="K131" s="344" t="str">
        <f>F131</f>
        <v>0,4 км</v>
      </c>
      <c r="L131" s="30" t="str">
        <f>G131</f>
        <v>0,4 км</v>
      </c>
      <c r="M131" s="52" t="str">
        <f aca="true" t="shared" si="44" ref="M131:O132">C131</f>
        <v>-</v>
      </c>
      <c r="N131" s="320" t="str">
        <f t="shared" si="44"/>
        <v>-</v>
      </c>
      <c r="O131" s="320" t="str">
        <f t="shared" si="44"/>
        <v>-</v>
      </c>
      <c r="P131" s="344" t="s">
        <v>598</v>
      </c>
      <c r="Q131" s="30" t="s">
        <v>598</v>
      </c>
      <c r="R131" s="52"/>
      <c r="S131" s="320"/>
      <c r="T131" s="320"/>
      <c r="U131" s="320"/>
      <c r="V131" s="664"/>
    </row>
    <row r="132" spans="1:22" ht="78" customHeight="1">
      <c r="A132" s="663">
        <v>4</v>
      </c>
      <c r="B132" s="666" t="str">
        <f>'приложение 7.1'!B134</f>
        <v>Строительство ВЛИ-0,4 кВот ТП-527 до садовых домиков в р-не НСТ "Лесное", г.Чебоксары</v>
      </c>
      <c r="C132" s="52" t="s">
        <v>598</v>
      </c>
      <c r="D132" s="320" t="s">
        <v>598</v>
      </c>
      <c r="E132" s="320" t="s">
        <v>598</v>
      </c>
      <c r="F132" s="320" t="str">
        <f>'приложение 7.2'!AE133</f>
        <v>0,4 км</v>
      </c>
      <c r="G132" s="664" t="str">
        <f>F132</f>
        <v>0,4 км</v>
      </c>
      <c r="H132" s="52" t="s">
        <v>598</v>
      </c>
      <c r="I132" s="320" t="s">
        <v>598</v>
      </c>
      <c r="J132" s="320" t="s">
        <v>598</v>
      </c>
      <c r="K132" s="344" t="str">
        <f>F132</f>
        <v>0,4 км</v>
      </c>
      <c r="L132" s="30" t="str">
        <f>G132</f>
        <v>0,4 км</v>
      </c>
      <c r="M132" s="52" t="str">
        <f t="shared" si="44"/>
        <v>-</v>
      </c>
      <c r="N132" s="320" t="str">
        <f t="shared" si="44"/>
        <v>-</v>
      </c>
      <c r="O132" s="320" t="str">
        <f t="shared" si="44"/>
        <v>-</v>
      </c>
      <c r="P132" s="344" t="s">
        <v>598</v>
      </c>
      <c r="Q132" s="30" t="s">
        <v>598</v>
      </c>
      <c r="R132" s="52"/>
      <c r="S132" s="320"/>
      <c r="T132" s="320"/>
      <c r="U132" s="320"/>
      <c r="V132" s="664"/>
    </row>
    <row r="133" spans="1:22" ht="15.75">
      <c r="A133" s="663" t="s">
        <v>905</v>
      </c>
      <c r="B133" s="665" t="str">
        <f>'приложение 7.1'!B135</f>
        <v>г.Мариинский Посад</v>
      </c>
      <c r="C133" s="52"/>
      <c r="D133" s="320"/>
      <c r="E133" s="320"/>
      <c r="F133" s="320"/>
      <c r="G133" s="664"/>
      <c r="H133" s="52"/>
      <c r="I133" s="320"/>
      <c r="J133" s="320"/>
      <c r="K133" s="320"/>
      <c r="L133" s="664"/>
      <c r="M133" s="52"/>
      <c r="N133" s="320"/>
      <c r="O133" s="320"/>
      <c r="P133" s="320"/>
      <c r="Q133" s="664"/>
      <c r="R133" s="52"/>
      <c r="S133" s="320"/>
      <c r="T133" s="320"/>
      <c r="U133" s="320"/>
      <c r="V133" s="664"/>
    </row>
    <row r="134" spans="1:22" ht="51" customHeight="1">
      <c r="A134" s="663">
        <v>1</v>
      </c>
      <c r="B134" s="666" t="str">
        <f>'приложение 7.1'!B136</f>
        <v>от ТП-5 (для электроснабжения многодетных семей), разработка рабочей документации</v>
      </c>
      <c r="C134" s="52" t="s">
        <v>598</v>
      </c>
      <c r="D134" s="320" t="s">
        <v>598</v>
      </c>
      <c r="E134" s="320" t="s">
        <v>598</v>
      </c>
      <c r="F134" s="320" t="str">
        <f>'приложение 7.2'!AE135</f>
        <v>1,4 км</v>
      </c>
      <c r="G134" s="664" t="str">
        <f t="shared" si="42"/>
        <v>1,4 км</v>
      </c>
      <c r="H134" s="52" t="s">
        <v>598</v>
      </c>
      <c r="I134" s="320" t="s">
        <v>598</v>
      </c>
      <c r="J134" s="320" t="s">
        <v>598</v>
      </c>
      <c r="K134" s="344" t="s">
        <v>598</v>
      </c>
      <c r="L134" s="30" t="s">
        <v>598</v>
      </c>
      <c r="M134" s="52" t="str">
        <f>C134</f>
        <v>-</v>
      </c>
      <c r="N134" s="320" t="str">
        <f>D134</f>
        <v>-</v>
      </c>
      <c r="O134" s="320" t="str">
        <f>E134</f>
        <v>-</v>
      </c>
      <c r="P134" s="344" t="s">
        <v>598</v>
      </c>
      <c r="Q134" s="30" t="s">
        <v>598</v>
      </c>
      <c r="R134" s="52"/>
      <c r="S134" s="320"/>
      <c r="T134" s="320"/>
      <c r="U134" s="320"/>
      <c r="V134" s="664"/>
    </row>
    <row r="135" spans="1:22" ht="15.75">
      <c r="A135" s="663" t="s">
        <v>906</v>
      </c>
      <c r="B135" s="665" t="str">
        <f>'приложение 7.1'!B137</f>
        <v>г.Цивильск</v>
      </c>
      <c r="C135" s="52"/>
      <c r="D135" s="320"/>
      <c r="E135" s="320"/>
      <c r="F135" s="320"/>
      <c r="G135" s="664"/>
      <c r="H135" s="52"/>
      <c r="I135" s="320"/>
      <c r="J135" s="320"/>
      <c r="K135" s="320"/>
      <c r="L135" s="664"/>
      <c r="M135" s="52"/>
      <c r="N135" s="320"/>
      <c r="O135" s="320"/>
      <c r="P135" s="320"/>
      <c r="Q135" s="664"/>
      <c r="R135" s="52"/>
      <c r="S135" s="320"/>
      <c r="T135" s="320"/>
      <c r="U135" s="320"/>
      <c r="V135" s="664"/>
    </row>
    <row r="136" spans="1:22" ht="51.75" customHeight="1">
      <c r="A136" s="663">
        <v>1</v>
      </c>
      <c r="B136" s="666" t="str">
        <f>'приложение 7.1'!B138</f>
        <v> ВЛИ в микрорайоне "Южный" (для электроснабжения многодетных семей)</v>
      </c>
      <c r="C136" s="52" t="s">
        <v>598</v>
      </c>
      <c r="D136" s="320" t="s">
        <v>598</v>
      </c>
      <c r="E136" s="320" t="s">
        <v>598</v>
      </c>
      <c r="F136" s="320" t="str">
        <f>'приложение 7.2'!AE137</f>
        <v>2,302 км</v>
      </c>
      <c r="G136" s="664" t="str">
        <f t="shared" si="42"/>
        <v>2,302 км</v>
      </c>
      <c r="H136" s="52" t="s">
        <v>598</v>
      </c>
      <c r="I136" s="320" t="s">
        <v>598</v>
      </c>
      <c r="J136" s="320" t="s">
        <v>598</v>
      </c>
      <c r="K136" s="344" t="s">
        <v>598</v>
      </c>
      <c r="L136" s="30" t="s">
        <v>598</v>
      </c>
      <c r="M136" s="52" t="str">
        <f>C136</f>
        <v>-</v>
      </c>
      <c r="N136" s="320" t="str">
        <f>D136</f>
        <v>-</v>
      </c>
      <c r="O136" s="320" t="str">
        <f>E136</f>
        <v>-</v>
      </c>
      <c r="P136" s="344" t="s">
        <v>598</v>
      </c>
      <c r="Q136" s="30" t="s">
        <v>598</v>
      </c>
      <c r="R136" s="52"/>
      <c r="S136" s="320"/>
      <c r="T136" s="320"/>
      <c r="U136" s="320"/>
      <c r="V136" s="664"/>
    </row>
    <row r="137" spans="1:22" ht="15.75">
      <c r="A137" s="663" t="s">
        <v>819</v>
      </c>
      <c r="B137" s="665" t="str">
        <f>'приложение 7.1'!B139</f>
        <v>ВЛ-6 кВ</v>
      </c>
      <c r="C137" s="52"/>
      <c r="D137" s="320"/>
      <c r="E137" s="320"/>
      <c r="F137" s="320"/>
      <c r="G137" s="664"/>
      <c r="H137" s="834"/>
      <c r="I137" s="320"/>
      <c r="J137" s="320"/>
      <c r="K137" s="320"/>
      <c r="L137" s="320"/>
      <c r="M137" s="52"/>
      <c r="N137" s="320"/>
      <c r="O137" s="320"/>
      <c r="P137" s="320"/>
      <c r="Q137" s="664"/>
      <c r="R137" s="52"/>
      <c r="S137" s="320"/>
      <c r="T137" s="320"/>
      <c r="U137" s="320"/>
      <c r="V137" s="664"/>
    </row>
    <row r="138" spans="1:22" ht="15.75">
      <c r="A138" s="663" t="s">
        <v>907</v>
      </c>
      <c r="B138" s="665" t="str">
        <f>'приложение 7.1'!B140</f>
        <v>г.Чебоксары</v>
      </c>
      <c r="C138" s="52"/>
      <c r="D138" s="320"/>
      <c r="E138" s="320"/>
      <c r="F138" s="320"/>
      <c r="G138" s="664"/>
      <c r="H138" s="52"/>
      <c r="I138" s="320"/>
      <c r="J138" s="320"/>
      <c r="K138" s="320"/>
      <c r="L138" s="664"/>
      <c r="M138" s="52"/>
      <c r="N138" s="320"/>
      <c r="O138" s="320"/>
      <c r="P138" s="320"/>
      <c r="Q138" s="664"/>
      <c r="R138" s="52"/>
      <c r="S138" s="320"/>
      <c r="T138" s="320"/>
      <c r="U138" s="320"/>
      <c r="V138" s="664"/>
    </row>
    <row r="139" spans="1:22" ht="51.75" customHeight="1">
      <c r="A139" s="663">
        <v>1</v>
      </c>
      <c r="B139" s="666" t="str">
        <f>'приложение 7.1'!B141</f>
        <v> ВЛЗ в микрорайоне "Южный" (для электроснабжения многодетных семей)</v>
      </c>
      <c r="C139" s="52" t="s">
        <v>598</v>
      </c>
      <c r="D139" s="320" t="s">
        <v>598</v>
      </c>
      <c r="E139" s="320" t="s">
        <v>598</v>
      </c>
      <c r="F139" s="320" t="str">
        <f>'приложение 7.2'!AE140</f>
        <v>0,81 км</v>
      </c>
      <c r="G139" s="664" t="str">
        <f>F139</f>
        <v>0,81 км</v>
      </c>
      <c r="H139" s="52" t="s">
        <v>598</v>
      </c>
      <c r="I139" s="320" t="s">
        <v>598</v>
      </c>
      <c r="J139" s="320" t="s">
        <v>598</v>
      </c>
      <c r="K139" s="344" t="s">
        <v>598</v>
      </c>
      <c r="L139" s="30" t="s">
        <v>598</v>
      </c>
      <c r="M139" s="52" t="str">
        <f aca="true" t="shared" si="45" ref="M139:O140">C139</f>
        <v>-</v>
      </c>
      <c r="N139" s="320" t="str">
        <f t="shared" si="45"/>
        <v>-</v>
      </c>
      <c r="O139" s="320" t="str">
        <f t="shared" si="45"/>
        <v>-</v>
      </c>
      <c r="P139" s="344" t="s">
        <v>598</v>
      </c>
      <c r="Q139" s="30" t="s">
        <v>598</v>
      </c>
      <c r="R139" s="52"/>
      <c r="S139" s="320"/>
      <c r="T139" s="320"/>
      <c r="U139" s="320"/>
      <c r="V139" s="664"/>
    </row>
    <row r="140" spans="1:22" ht="96.75" customHeight="1">
      <c r="A140" s="663">
        <v>2</v>
      </c>
      <c r="B140" s="666" t="str">
        <f>'приложение 7.1'!B142</f>
        <v> Строительство ВЛ-10 кВ от опоры №42 ВЛ-10 кВ "ТП-324-ТП-187" до проектируемой ТП для электроснабжения садовых домиков ДНТ "Полет" и СНТ "Мичуринец"</v>
      </c>
      <c r="C140" s="52" t="s">
        <v>598</v>
      </c>
      <c r="D140" s="320" t="s">
        <v>598</v>
      </c>
      <c r="E140" s="320" t="s">
        <v>598</v>
      </c>
      <c r="F140" s="320" t="str">
        <f>'приложение 7.2'!AE141</f>
        <v>0,81 км</v>
      </c>
      <c r="G140" s="664" t="str">
        <f>F140</f>
        <v>0,81 км</v>
      </c>
      <c r="H140" s="52" t="s">
        <v>598</v>
      </c>
      <c r="I140" s="320" t="s">
        <v>598</v>
      </c>
      <c r="J140" s="320" t="s">
        <v>598</v>
      </c>
      <c r="K140" s="344" t="str">
        <f>F140</f>
        <v>0,81 км</v>
      </c>
      <c r="L140" s="30" t="str">
        <f>G140</f>
        <v>0,81 км</v>
      </c>
      <c r="M140" s="52" t="str">
        <f t="shared" si="45"/>
        <v>-</v>
      </c>
      <c r="N140" s="320" t="str">
        <f t="shared" si="45"/>
        <v>-</v>
      </c>
      <c r="O140" s="320" t="str">
        <f t="shared" si="45"/>
        <v>-</v>
      </c>
      <c r="P140" s="344" t="s">
        <v>598</v>
      </c>
      <c r="Q140" s="30" t="s">
        <v>598</v>
      </c>
      <c r="R140" s="52"/>
      <c r="S140" s="320"/>
      <c r="T140" s="320"/>
      <c r="U140" s="320"/>
      <c r="V140" s="664"/>
    </row>
    <row r="141" spans="1:22" ht="94.5">
      <c r="A141" s="663" t="s">
        <v>882</v>
      </c>
      <c r="B141" s="665" t="str">
        <f>'приложение 7.1'!B143</f>
        <v>Плата за технологическое присоединение вышестоящим смежным сетевым организациям для подключения новых объектов строительства***</v>
      </c>
      <c r="C141" s="52"/>
      <c r="D141" s="320"/>
      <c r="E141" s="320"/>
      <c r="F141" s="320"/>
      <c r="G141" s="664"/>
      <c r="H141" s="834"/>
      <c r="I141" s="320"/>
      <c r="J141" s="320"/>
      <c r="K141" s="320"/>
      <c r="L141" s="320"/>
      <c r="M141" s="52"/>
      <c r="N141" s="320"/>
      <c r="O141" s="320"/>
      <c r="P141" s="320"/>
      <c r="Q141" s="664"/>
      <c r="R141" s="52"/>
      <c r="S141" s="320"/>
      <c r="T141" s="320"/>
      <c r="U141" s="320"/>
      <c r="V141" s="664"/>
    </row>
    <row r="142" spans="1:22" ht="15.75">
      <c r="A142" s="663" t="s">
        <v>908</v>
      </c>
      <c r="B142" s="665" t="str">
        <f>'приложение 7.1'!B144</f>
        <v>г.Чебоксары</v>
      </c>
      <c r="C142" s="52"/>
      <c r="D142" s="320"/>
      <c r="E142" s="320"/>
      <c r="F142" s="320"/>
      <c r="G142" s="664"/>
      <c r="H142" s="52"/>
      <c r="I142" s="320"/>
      <c r="J142" s="320"/>
      <c r="K142" s="320"/>
      <c r="L142" s="664"/>
      <c r="M142" s="52"/>
      <c r="N142" s="320"/>
      <c r="O142" s="320"/>
      <c r="P142" s="320"/>
      <c r="Q142" s="664"/>
      <c r="R142" s="52"/>
      <c r="S142" s="320"/>
      <c r="T142" s="320"/>
      <c r="U142" s="320"/>
      <c r="V142" s="664"/>
    </row>
    <row r="143" spans="1:22" ht="87" customHeight="1">
      <c r="A143" s="663">
        <v>1</v>
      </c>
      <c r="B143" s="666" t="str">
        <f>'приложение 7.1'!B145</f>
        <v>Плата за технологическое присоединение вышестоящим смежным сетевым организациям для подключения новых объектов строительства***</v>
      </c>
      <c r="C143" s="52" t="s">
        <v>598</v>
      </c>
      <c r="D143" s="320" t="s">
        <v>598</v>
      </c>
      <c r="E143" s="320" t="s">
        <v>598</v>
      </c>
      <c r="F143" s="320" t="s">
        <v>598</v>
      </c>
      <c r="G143" s="664" t="str">
        <f>F143</f>
        <v>-</v>
      </c>
      <c r="H143" s="52" t="s">
        <v>598</v>
      </c>
      <c r="I143" s="320" t="s">
        <v>598</v>
      </c>
      <c r="J143" s="320" t="s">
        <v>598</v>
      </c>
      <c r="K143" s="344" t="str">
        <f>F143</f>
        <v>-</v>
      </c>
      <c r="L143" s="30" t="str">
        <f>G143</f>
        <v>-</v>
      </c>
      <c r="M143" s="52" t="str">
        <f>C143</f>
        <v>-</v>
      </c>
      <c r="N143" s="320" t="str">
        <f>D143</f>
        <v>-</v>
      </c>
      <c r="O143" s="320" t="str">
        <f>E143</f>
        <v>-</v>
      </c>
      <c r="P143" s="344" t="str">
        <f>F143</f>
        <v>-</v>
      </c>
      <c r="Q143" s="30" t="str">
        <f>G143</f>
        <v>-</v>
      </c>
      <c r="R143" s="52"/>
      <c r="S143" s="320"/>
      <c r="T143" s="320"/>
      <c r="U143" s="320"/>
      <c r="V143" s="664"/>
    </row>
    <row r="144" spans="1:22" ht="31.5">
      <c r="A144" s="663">
        <v>3</v>
      </c>
      <c r="B144" s="665" t="str">
        <f>'приложение 7.1'!B146</f>
        <v>Оборудование, не входящие в сметы строек</v>
      </c>
      <c r="C144" s="52"/>
      <c r="D144" s="320"/>
      <c r="E144" s="320"/>
      <c r="F144" s="320"/>
      <c r="G144" s="664"/>
      <c r="H144" s="52" t="s">
        <v>598</v>
      </c>
      <c r="I144" s="320" t="s">
        <v>598</v>
      </c>
      <c r="J144" s="320" t="s">
        <v>598</v>
      </c>
      <c r="K144" s="344" t="s">
        <v>598</v>
      </c>
      <c r="L144" s="30" t="s">
        <v>598</v>
      </c>
      <c r="M144" s="52" t="s">
        <v>598</v>
      </c>
      <c r="N144" s="320" t="s">
        <v>598</v>
      </c>
      <c r="O144" s="320" t="s">
        <v>598</v>
      </c>
      <c r="P144" s="344" t="s">
        <v>598</v>
      </c>
      <c r="Q144" s="30" t="s">
        <v>598</v>
      </c>
      <c r="R144" s="52"/>
      <c r="S144" s="320"/>
      <c r="T144" s="320"/>
      <c r="U144" s="320"/>
      <c r="V144" s="664"/>
    </row>
    <row r="145" spans="1:22" ht="57.75" customHeight="1" thickBot="1">
      <c r="A145" s="663">
        <v>1</v>
      </c>
      <c r="B145" s="666" t="str">
        <f>'приложение 7.1'!B147</f>
        <v>Оборудование, не входящее в сметы строек </v>
      </c>
      <c r="C145" s="55" t="s">
        <v>598</v>
      </c>
      <c r="D145" s="835" t="s">
        <v>598</v>
      </c>
      <c r="E145" s="835" t="s">
        <v>598</v>
      </c>
      <c r="F145" s="835" t="s">
        <v>598</v>
      </c>
      <c r="G145" s="836" t="str">
        <f>F145</f>
        <v>-</v>
      </c>
      <c r="H145" s="52" t="s">
        <v>598</v>
      </c>
      <c r="I145" s="320" t="s">
        <v>598</v>
      </c>
      <c r="J145" s="320" t="s">
        <v>598</v>
      </c>
      <c r="K145" s="344" t="str">
        <f>F145</f>
        <v>-</v>
      </c>
      <c r="L145" s="30" t="str">
        <f>G145</f>
        <v>-</v>
      </c>
      <c r="M145" s="52" t="str">
        <f>C145</f>
        <v>-</v>
      </c>
      <c r="N145" s="320" t="str">
        <f>D145</f>
        <v>-</v>
      </c>
      <c r="O145" s="320" t="str">
        <f>E145</f>
        <v>-</v>
      </c>
      <c r="P145" s="344" t="str">
        <f>F145</f>
        <v>-</v>
      </c>
      <c r="Q145" s="30" t="str">
        <f>G145</f>
        <v>-</v>
      </c>
      <c r="R145" s="55"/>
      <c r="S145" s="835"/>
      <c r="T145" s="835"/>
      <c r="U145" s="835"/>
      <c r="V145" s="836"/>
    </row>
    <row r="147" ht="15.75">
      <c r="B147" s="1" t="s">
        <v>134</v>
      </c>
    </row>
    <row r="148" ht="15.75">
      <c r="B148" s="1" t="s">
        <v>492</v>
      </c>
    </row>
    <row r="149" ht="15.75">
      <c r="B149" s="1" t="s">
        <v>947</v>
      </c>
    </row>
  </sheetData>
  <sheetProtection/>
  <mergeCells count="14">
    <mergeCell ref="C13:G13"/>
    <mergeCell ref="H13:L13"/>
    <mergeCell ref="M13:Q13"/>
    <mergeCell ref="R13:V13"/>
    <mergeCell ref="C14:G14"/>
    <mergeCell ref="H14:L14"/>
    <mergeCell ref="M14:Q14"/>
    <mergeCell ref="R14:V14"/>
    <mergeCell ref="S9:V9"/>
    <mergeCell ref="A5:V5"/>
    <mergeCell ref="A12:A15"/>
    <mergeCell ref="B12:B15"/>
    <mergeCell ref="C12:L12"/>
    <mergeCell ref="M12:V12"/>
  </mergeCells>
  <printOptions/>
  <pageMargins left="0.1968503937007874" right="0" top="0.15748031496062992" bottom="0.15748031496062992" header="0" footer="0"/>
  <pageSetup fitToHeight="0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4"/>
  <sheetViews>
    <sheetView zoomScale="80" zoomScaleNormal="80" zoomScalePageLayoutView="0" workbookViewId="0" topLeftCell="A1">
      <selection activeCell="I23" sqref="I23"/>
    </sheetView>
  </sheetViews>
  <sheetFormatPr defaultColWidth="9.00390625" defaultRowHeight="15.75"/>
  <cols>
    <col min="1" max="1" width="13.875" style="1" customWidth="1"/>
    <col min="2" max="2" width="36.875" style="18" customWidth="1"/>
    <col min="3" max="3" width="14.125" style="18" customWidth="1"/>
    <col min="4" max="4" width="16.00390625" style="18" customWidth="1"/>
    <col min="5" max="5" width="13.375" style="18" customWidth="1"/>
    <col min="6" max="6" width="13.875" style="18" customWidth="1"/>
    <col min="7" max="8" width="20.00390625" style="18" customWidth="1"/>
    <col min="9" max="9" width="15.625" style="18" customWidth="1"/>
    <col min="10" max="14" width="7.875" style="18" customWidth="1"/>
    <col min="15" max="15" width="9.00390625" style="18" customWidth="1"/>
    <col min="16" max="16384" width="9.00390625" style="1" customWidth="1"/>
  </cols>
  <sheetData>
    <row r="1" spans="1:14" ht="15.75">
      <c r="A1" s="18"/>
      <c r="B1" s="175"/>
      <c r="C1" s="175"/>
      <c r="D1" s="175"/>
      <c r="E1" s="175"/>
      <c r="F1" s="175"/>
      <c r="G1" s="175"/>
      <c r="H1" s="175"/>
      <c r="I1" s="175"/>
      <c r="N1" s="173" t="s">
        <v>517</v>
      </c>
    </row>
    <row r="2" spans="1:14" ht="15.75">
      <c r="A2" s="18"/>
      <c r="B2" s="175"/>
      <c r="C2" s="175"/>
      <c r="D2" s="175"/>
      <c r="E2" s="175"/>
      <c r="F2" s="175"/>
      <c r="G2" s="175"/>
      <c r="H2" s="175"/>
      <c r="I2" s="175"/>
      <c r="N2" s="173" t="s">
        <v>292</v>
      </c>
    </row>
    <row r="3" spans="1:14" ht="15.75">
      <c r="A3" s="18"/>
      <c r="B3" s="175"/>
      <c r="C3" s="175"/>
      <c r="D3" s="175"/>
      <c r="E3" s="175"/>
      <c r="F3" s="175"/>
      <c r="G3" s="175"/>
      <c r="H3" s="175"/>
      <c r="I3" s="175"/>
      <c r="N3" s="173" t="s">
        <v>301</v>
      </c>
    </row>
    <row r="4" spans="1:14" ht="15.75">
      <c r="A4" s="18"/>
      <c r="B4" s="175"/>
      <c r="C4" s="175"/>
      <c r="D4" s="175"/>
      <c r="E4" s="175"/>
      <c r="F4" s="175"/>
      <c r="G4" s="175"/>
      <c r="H4" s="175"/>
      <c r="I4" s="175"/>
      <c r="N4" s="173"/>
    </row>
    <row r="5" spans="1:14" ht="33" customHeight="1">
      <c r="A5" s="1073" t="s">
        <v>1030</v>
      </c>
      <c r="B5" s="1074"/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</row>
    <row r="6" spans="1:9" ht="15.75">
      <c r="A6" s="18"/>
      <c r="B6" s="175"/>
      <c r="C6" s="175"/>
      <c r="D6" s="175"/>
      <c r="E6" s="175"/>
      <c r="F6" s="175"/>
      <c r="G6" s="175"/>
      <c r="H6" s="175"/>
      <c r="I6" s="175"/>
    </row>
    <row r="7" spans="13:14" s="174" customFormat="1" ht="15.75">
      <c r="M7" s="172"/>
      <c r="N7" s="4" t="s">
        <v>293</v>
      </c>
    </row>
    <row r="8" spans="13:14" s="174" customFormat="1" ht="15.75">
      <c r="M8" s="172"/>
      <c r="N8" s="4" t="s">
        <v>995</v>
      </c>
    </row>
    <row r="9" spans="13:14" s="174" customFormat="1" ht="15.75">
      <c r="M9" s="172"/>
      <c r="N9" s="4" t="s">
        <v>569</v>
      </c>
    </row>
    <row r="10" spans="11:14" s="174" customFormat="1" ht="15.75" customHeight="1">
      <c r="K10" s="1030" t="s">
        <v>1000</v>
      </c>
      <c r="L10" s="1030"/>
      <c r="M10" s="1030"/>
      <c r="N10" s="1030"/>
    </row>
    <row r="11" spans="13:14" s="174" customFormat="1" ht="15.75">
      <c r="M11" s="172"/>
      <c r="N11" s="4" t="s">
        <v>1025</v>
      </c>
    </row>
    <row r="12" spans="13:14" s="174" customFormat="1" ht="15.75">
      <c r="M12" s="172"/>
      <c r="N12" s="4" t="s">
        <v>294</v>
      </c>
    </row>
    <row r="13" spans="1:9" ht="15.75">
      <c r="A13" s="1075"/>
      <c r="B13" s="1075"/>
      <c r="C13" s="1075"/>
      <c r="D13" s="1075"/>
      <c r="E13" s="1075"/>
      <c r="F13" s="1075"/>
      <c r="G13" s="1075"/>
      <c r="H13" s="1075"/>
      <c r="I13" s="1075"/>
    </row>
    <row r="14" spans="1:9" ht="15.75">
      <c r="A14" s="175"/>
      <c r="B14" s="175"/>
      <c r="C14" s="175"/>
      <c r="D14" s="175"/>
      <c r="E14" s="175"/>
      <c r="F14" s="175"/>
      <c r="G14" s="175"/>
      <c r="H14" s="175"/>
      <c r="I14" s="175"/>
    </row>
    <row r="15" spans="1:9" ht="16.5" thickBot="1">
      <c r="A15" s="1076"/>
      <c r="B15" s="1076"/>
      <c r="C15" s="1077"/>
      <c r="D15" s="1077"/>
      <c r="E15" s="1077"/>
      <c r="F15" s="1077"/>
      <c r="G15" s="1077"/>
      <c r="H15" s="1077"/>
      <c r="I15" s="1077"/>
    </row>
    <row r="16" spans="1:14" ht="33" customHeight="1">
      <c r="A16" s="997" t="s">
        <v>332</v>
      </c>
      <c r="B16" s="897" t="s">
        <v>333</v>
      </c>
      <c r="C16" s="897" t="s">
        <v>334</v>
      </c>
      <c r="D16" s="897"/>
      <c r="E16" s="897"/>
      <c r="F16" s="897"/>
      <c r="G16" s="897" t="s">
        <v>335</v>
      </c>
      <c r="H16" s="897" t="s">
        <v>336</v>
      </c>
      <c r="I16" s="1068" t="s">
        <v>337</v>
      </c>
      <c r="J16" s="1053" t="s">
        <v>338</v>
      </c>
      <c r="K16" s="1054"/>
      <c r="L16" s="1054"/>
      <c r="M16" s="1054"/>
      <c r="N16" s="1055"/>
    </row>
    <row r="17" spans="1:14" ht="15.75">
      <c r="A17" s="939"/>
      <c r="B17" s="898"/>
      <c r="C17" s="898" t="s">
        <v>339</v>
      </c>
      <c r="D17" s="898"/>
      <c r="E17" s="898" t="s">
        <v>340</v>
      </c>
      <c r="F17" s="898"/>
      <c r="G17" s="898"/>
      <c r="H17" s="898"/>
      <c r="I17" s="1069"/>
      <c r="J17" s="1056"/>
      <c r="K17" s="1057"/>
      <c r="L17" s="1057"/>
      <c r="M17" s="1057"/>
      <c r="N17" s="1058"/>
    </row>
    <row r="18" spans="1:14" ht="15.75">
      <c r="A18" s="939"/>
      <c r="B18" s="898"/>
      <c r="C18" s="1065" t="s">
        <v>341</v>
      </c>
      <c r="D18" s="1065" t="s">
        <v>342</v>
      </c>
      <c r="E18" s="1065" t="s">
        <v>341</v>
      </c>
      <c r="F18" s="1065" t="s">
        <v>342</v>
      </c>
      <c r="G18" s="898"/>
      <c r="H18" s="898"/>
      <c r="I18" s="1069"/>
      <c r="J18" s="1059"/>
      <c r="K18" s="1060"/>
      <c r="L18" s="1060"/>
      <c r="M18" s="1060"/>
      <c r="N18" s="1061"/>
    </row>
    <row r="19" spans="1:14" ht="15.75">
      <c r="A19" s="939"/>
      <c r="B19" s="1078"/>
      <c r="C19" s="1066"/>
      <c r="D19" s="1066"/>
      <c r="E19" s="1066"/>
      <c r="F19" s="1066"/>
      <c r="G19" s="898"/>
      <c r="H19" s="898"/>
      <c r="I19" s="1069"/>
      <c r="J19" s="1059"/>
      <c r="K19" s="1060"/>
      <c r="L19" s="1060"/>
      <c r="M19" s="1060"/>
      <c r="N19" s="1061"/>
    </row>
    <row r="20" spans="1:14" ht="15.75">
      <c r="A20" s="939"/>
      <c r="B20" s="898"/>
      <c r="C20" s="1067"/>
      <c r="D20" s="1067"/>
      <c r="E20" s="1067"/>
      <c r="F20" s="1067"/>
      <c r="G20" s="898"/>
      <c r="H20" s="898"/>
      <c r="I20" s="1069"/>
      <c r="J20" s="1062"/>
      <c r="K20" s="1063"/>
      <c r="L20" s="1063"/>
      <c r="M20" s="1063"/>
      <c r="N20" s="1064"/>
    </row>
    <row r="21" spans="1:14" ht="16.5" thickBot="1">
      <c r="A21" s="345">
        <v>1</v>
      </c>
      <c r="B21" s="346">
        <v>2</v>
      </c>
      <c r="C21" s="346">
        <v>3</v>
      </c>
      <c r="D21" s="346">
        <v>4</v>
      </c>
      <c r="E21" s="346">
        <v>5</v>
      </c>
      <c r="F21" s="346">
        <v>6</v>
      </c>
      <c r="G21" s="346">
        <v>8</v>
      </c>
      <c r="H21" s="346">
        <v>9</v>
      </c>
      <c r="I21" s="346">
        <v>10</v>
      </c>
      <c r="J21" s="1070">
        <v>11</v>
      </c>
      <c r="K21" s="1071"/>
      <c r="L21" s="1071"/>
      <c r="M21" s="1071"/>
      <c r="N21" s="1072"/>
    </row>
    <row r="22" spans="1:14" ht="31.5">
      <c r="A22" s="388">
        <v>1</v>
      </c>
      <c r="B22" s="210" t="s">
        <v>472</v>
      </c>
      <c r="C22" s="210"/>
      <c r="D22" s="210"/>
      <c r="E22" s="210"/>
      <c r="F22" s="210"/>
      <c r="G22" s="210"/>
      <c r="H22" s="210"/>
      <c r="I22" s="210"/>
      <c r="J22" s="1012"/>
      <c r="K22" s="1013"/>
      <c r="L22" s="1013"/>
      <c r="M22" s="1013"/>
      <c r="N22" s="1014"/>
    </row>
    <row r="23" spans="1:14" ht="31.5">
      <c r="A23" s="839" t="s">
        <v>612</v>
      </c>
      <c r="B23" s="206" t="s">
        <v>395</v>
      </c>
      <c r="C23" s="348" t="s">
        <v>964</v>
      </c>
      <c r="D23" s="348" t="s">
        <v>965</v>
      </c>
      <c r="E23" s="348" t="s">
        <v>964</v>
      </c>
      <c r="F23" s="348" t="s">
        <v>965</v>
      </c>
      <c r="G23" s="885">
        <v>1</v>
      </c>
      <c r="H23" s="885">
        <v>1</v>
      </c>
      <c r="I23" s="102"/>
      <c r="J23" s="1047"/>
      <c r="K23" s="1047"/>
      <c r="L23" s="1047"/>
      <c r="M23" s="1047"/>
      <c r="N23" s="1048"/>
    </row>
    <row r="24" spans="1:14" ht="15.75">
      <c r="A24" s="839" t="s">
        <v>613</v>
      </c>
      <c r="B24" s="206" t="s">
        <v>396</v>
      </c>
      <c r="C24" s="348" t="s">
        <v>966</v>
      </c>
      <c r="D24" s="348" t="s">
        <v>967</v>
      </c>
      <c r="E24" s="348" t="s">
        <v>966</v>
      </c>
      <c r="F24" s="348" t="s">
        <v>967</v>
      </c>
      <c r="G24" s="885">
        <v>1</v>
      </c>
      <c r="H24" s="885">
        <v>1</v>
      </c>
      <c r="I24" s="102"/>
      <c r="J24" s="1047"/>
      <c r="K24" s="1047"/>
      <c r="L24" s="1047"/>
      <c r="M24" s="1047"/>
      <c r="N24" s="1048"/>
    </row>
    <row r="25" spans="1:14" ht="31.5">
      <c r="A25" s="839" t="s">
        <v>623</v>
      </c>
      <c r="B25" s="206" t="s">
        <v>397</v>
      </c>
      <c r="C25" s="348" t="s">
        <v>965</v>
      </c>
      <c r="D25" s="348" t="s">
        <v>968</v>
      </c>
      <c r="E25" s="348" t="s">
        <v>965</v>
      </c>
      <c r="F25" s="348" t="s">
        <v>968</v>
      </c>
      <c r="G25" s="885">
        <v>1</v>
      </c>
      <c r="H25" s="885">
        <v>1</v>
      </c>
      <c r="I25" s="102"/>
      <c r="J25" s="1047"/>
      <c r="K25" s="1047"/>
      <c r="L25" s="1047"/>
      <c r="M25" s="1047"/>
      <c r="N25" s="1048"/>
    </row>
    <row r="26" spans="1:14" ht="47.25">
      <c r="A26" s="839" t="s">
        <v>640</v>
      </c>
      <c r="B26" s="206" t="s">
        <v>398</v>
      </c>
      <c r="C26" s="348" t="s">
        <v>403</v>
      </c>
      <c r="D26" s="348" t="s">
        <v>403</v>
      </c>
      <c r="E26" s="348" t="s">
        <v>968</v>
      </c>
      <c r="F26" s="348" t="s">
        <v>1031</v>
      </c>
      <c r="G26" s="885">
        <v>0.5</v>
      </c>
      <c r="H26" s="885">
        <v>0.5</v>
      </c>
      <c r="I26" s="102"/>
      <c r="J26" s="1047"/>
      <c r="K26" s="1047"/>
      <c r="L26" s="1047"/>
      <c r="M26" s="1047"/>
      <c r="N26" s="1048"/>
    </row>
    <row r="27" spans="1:14" ht="31.5">
      <c r="A27" s="839" t="s">
        <v>210</v>
      </c>
      <c r="B27" s="206" t="s">
        <v>231</v>
      </c>
      <c r="C27" s="6" t="s">
        <v>968</v>
      </c>
      <c r="D27" s="6" t="s">
        <v>969</v>
      </c>
      <c r="E27" s="348" t="s">
        <v>968</v>
      </c>
      <c r="F27" s="348" t="s">
        <v>1031</v>
      </c>
      <c r="G27" s="885">
        <v>0.2</v>
      </c>
      <c r="H27" s="885">
        <v>0.2</v>
      </c>
      <c r="I27" s="10"/>
      <c r="J27" s="1047"/>
      <c r="K27" s="1047"/>
      <c r="L27" s="1047"/>
      <c r="M27" s="1047"/>
      <c r="N27" s="1048"/>
    </row>
    <row r="28" spans="1:14" ht="15.75">
      <c r="A28" s="347">
        <v>2</v>
      </c>
      <c r="B28" s="318" t="s">
        <v>554</v>
      </c>
      <c r="C28" s="830"/>
      <c r="D28" s="830"/>
      <c r="E28" s="222"/>
      <c r="F28" s="222"/>
      <c r="G28" s="222"/>
      <c r="H28" s="222"/>
      <c r="I28" s="222"/>
      <c r="J28" s="1012"/>
      <c r="K28" s="1013"/>
      <c r="L28" s="1013"/>
      <c r="M28" s="1013"/>
      <c r="N28" s="1014"/>
    </row>
    <row r="29" spans="1:14" ht="15.75">
      <c r="A29" s="389" t="s">
        <v>615</v>
      </c>
      <c r="B29" s="208" t="s">
        <v>396</v>
      </c>
      <c r="C29" s="831" t="s">
        <v>964</v>
      </c>
      <c r="D29" s="831" t="s">
        <v>967</v>
      </c>
      <c r="E29" s="831" t="s">
        <v>964</v>
      </c>
      <c r="F29" s="831" t="s">
        <v>967</v>
      </c>
      <c r="G29" s="885">
        <v>1</v>
      </c>
      <c r="H29" s="885">
        <v>1</v>
      </c>
      <c r="I29" s="10"/>
      <c r="J29" s="1047"/>
      <c r="K29" s="1047"/>
      <c r="L29" s="1047"/>
      <c r="M29" s="1047"/>
      <c r="N29" s="1048"/>
    </row>
    <row r="30" spans="1:14" ht="15.75">
      <c r="A30" s="389" t="s">
        <v>616</v>
      </c>
      <c r="B30" s="208" t="s">
        <v>406</v>
      </c>
      <c r="C30" s="831" t="s">
        <v>964</v>
      </c>
      <c r="D30" s="831" t="s">
        <v>967</v>
      </c>
      <c r="E30" s="831" t="s">
        <v>964</v>
      </c>
      <c r="F30" s="831" t="s">
        <v>967</v>
      </c>
      <c r="G30" s="885">
        <v>1</v>
      </c>
      <c r="H30" s="885">
        <v>1</v>
      </c>
      <c r="I30" s="10"/>
      <c r="J30" s="1047"/>
      <c r="K30" s="1047"/>
      <c r="L30" s="1047"/>
      <c r="M30" s="1047"/>
      <c r="N30" s="1048"/>
    </row>
    <row r="31" spans="1:14" ht="15.75">
      <c r="A31" s="389" t="s">
        <v>617</v>
      </c>
      <c r="B31" s="105" t="s">
        <v>220</v>
      </c>
      <c r="C31" s="831" t="s">
        <v>966</v>
      </c>
      <c r="D31" s="831" t="s">
        <v>970</v>
      </c>
      <c r="E31" s="831" t="s">
        <v>966</v>
      </c>
      <c r="F31" s="831" t="s">
        <v>970</v>
      </c>
      <c r="G31" s="885">
        <v>1</v>
      </c>
      <c r="H31" s="885">
        <v>1</v>
      </c>
      <c r="I31" s="10"/>
      <c r="J31" s="1047"/>
      <c r="K31" s="1047"/>
      <c r="L31" s="1047"/>
      <c r="M31" s="1047"/>
      <c r="N31" s="1048"/>
    </row>
    <row r="32" spans="1:14" ht="63">
      <c r="A32" s="154" t="s">
        <v>618</v>
      </c>
      <c r="B32" s="838" t="s">
        <v>222</v>
      </c>
      <c r="C32" s="6" t="s">
        <v>408</v>
      </c>
      <c r="D32" s="6" t="s">
        <v>408</v>
      </c>
      <c r="E32" s="348" t="s">
        <v>968</v>
      </c>
      <c r="F32" s="348" t="s">
        <v>1031</v>
      </c>
      <c r="G32" s="885">
        <v>1</v>
      </c>
      <c r="H32" s="885">
        <v>1</v>
      </c>
      <c r="I32" s="10"/>
      <c r="J32" s="1047"/>
      <c r="K32" s="1047"/>
      <c r="L32" s="1047"/>
      <c r="M32" s="1047"/>
      <c r="N32" s="1048"/>
    </row>
    <row r="33" spans="1:14" ht="31.5">
      <c r="A33" s="389" t="s">
        <v>660</v>
      </c>
      <c r="B33" s="206" t="s">
        <v>231</v>
      </c>
      <c r="C33" s="6" t="s">
        <v>968</v>
      </c>
      <c r="D33" s="6" t="s">
        <v>969</v>
      </c>
      <c r="E33" s="348" t="s">
        <v>968</v>
      </c>
      <c r="F33" s="348" t="s">
        <v>1031</v>
      </c>
      <c r="G33" s="885">
        <v>0.2</v>
      </c>
      <c r="H33" s="885">
        <v>0.2</v>
      </c>
      <c r="I33" s="10"/>
      <c r="J33" s="1047"/>
      <c r="K33" s="1047"/>
      <c r="L33" s="1047"/>
      <c r="M33" s="1047"/>
      <c r="N33" s="1048"/>
    </row>
    <row r="34" spans="1:14" ht="31.5">
      <c r="A34" s="347">
        <v>3</v>
      </c>
      <c r="B34" s="210" t="s">
        <v>429</v>
      </c>
      <c r="C34" s="494"/>
      <c r="D34" s="494"/>
      <c r="E34" s="494"/>
      <c r="F34" s="494"/>
      <c r="G34" s="336"/>
      <c r="H34" s="336"/>
      <c r="I34" s="337"/>
      <c r="J34" s="1049"/>
      <c r="K34" s="1050"/>
      <c r="L34" s="1050"/>
      <c r="M34" s="1050"/>
      <c r="N34" s="1051"/>
    </row>
    <row r="35" spans="1:14" ht="47.25">
      <c r="A35" s="154" t="s">
        <v>201</v>
      </c>
      <c r="B35" s="206" t="s">
        <v>395</v>
      </c>
      <c r="C35" s="348" t="s">
        <v>964</v>
      </c>
      <c r="D35" s="348" t="s">
        <v>965</v>
      </c>
      <c r="E35" s="348" t="s">
        <v>964</v>
      </c>
      <c r="F35" s="348" t="s">
        <v>965</v>
      </c>
      <c r="G35" s="885">
        <v>1</v>
      </c>
      <c r="H35" s="885">
        <v>1</v>
      </c>
      <c r="I35" s="10"/>
      <c r="J35" s="1047"/>
      <c r="K35" s="1047"/>
      <c r="L35" s="1047"/>
      <c r="M35" s="1047"/>
      <c r="N35" s="1048"/>
    </row>
    <row r="36" spans="1:14" ht="15.75">
      <c r="A36" s="154" t="s">
        <v>202</v>
      </c>
      <c r="B36" s="206" t="s">
        <v>396</v>
      </c>
      <c r="C36" s="348" t="s">
        <v>966</v>
      </c>
      <c r="D36" s="348" t="s">
        <v>967</v>
      </c>
      <c r="E36" s="348" t="s">
        <v>966</v>
      </c>
      <c r="F36" s="348" t="s">
        <v>967</v>
      </c>
      <c r="G36" s="885">
        <v>1</v>
      </c>
      <c r="H36" s="885">
        <v>1</v>
      </c>
      <c r="I36" s="10"/>
      <c r="J36" s="1047"/>
      <c r="K36" s="1047"/>
      <c r="L36" s="1047"/>
      <c r="M36" s="1047"/>
      <c r="N36" s="1048"/>
    </row>
    <row r="37" spans="1:14" ht="31.5">
      <c r="A37" s="154" t="s">
        <v>203</v>
      </c>
      <c r="B37" s="206" t="s">
        <v>397</v>
      </c>
      <c r="C37" s="348" t="s">
        <v>965</v>
      </c>
      <c r="D37" s="348" t="s">
        <v>968</v>
      </c>
      <c r="E37" s="348" t="s">
        <v>965</v>
      </c>
      <c r="F37" s="348" t="s">
        <v>968</v>
      </c>
      <c r="G37" s="885">
        <v>1</v>
      </c>
      <c r="H37" s="885">
        <v>1</v>
      </c>
      <c r="I37" s="10"/>
      <c r="J37" s="1047"/>
      <c r="K37" s="1047"/>
      <c r="L37" s="1047"/>
      <c r="M37" s="1047"/>
      <c r="N37" s="1048"/>
    </row>
    <row r="38" spans="1:14" ht="47.25">
      <c r="A38" s="154" t="s">
        <v>221</v>
      </c>
      <c r="B38" s="206" t="s">
        <v>398</v>
      </c>
      <c r="C38" s="348" t="s">
        <v>403</v>
      </c>
      <c r="D38" s="348" t="s">
        <v>403</v>
      </c>
      <c r="E38" s="348" t="s">
        <v>968</v>
      </c>
      <c r="F38" s="348" t="s">
        <v>1031</v>
      </c>
      <c r="G38" s="885">
        <v>0.5</v>
      </c>
      <c r="H38" s="885">
        <v>0.5</v>
      </c>
      <c r="I38" s="10"/>
      <c r="J38" s="1047"/>
      <c r="K38" s="1047"/>
      <c r="L38" s="1047"/>
      <c r="M38" s="1047"/>
      <c r="N38" s="1048"/>
    </row>
    <row r="39" spans="1:14" ht="31.5">
      <c r="A39" s="154" t="s">
        <v>223</v>
      </c>
      <c r="B39" s="206" t="s">
        <v>231</v>
      </c>
      <c r="C39" s="6" t="s">
        <v>968</v>
      </c>
      <c r="D39" s="6" t="s">
        <v>969</v>
      </c>
      <c r="E39" s="348" t="s">
        <v>968</v>
      </c>
      <c r="F39" s="348" t="s">
        <v>1031</v>
      </c>
      <c r="G39" s="885">
        <v>0.2</v>
      </c>
      <c r="H39" s="885">
        <v>0.2</v>
      </c>
      <c r="I39" s="10"/>
      <c r="J39" s="1047"/>
      <c r="K39" s="1047"/>
      <c r="L39" s="1047"/>
      <c r="M39" s="1047"/>
      <c r="N39" s="1048"/>
    </row>
    <row r="40" spans="1:14" ht="15.75">
      <c r="A40" s="347">
        <v>4</v>
      </c>
      <c r="B40" s="222" t="s">
        <v>659</v>
      </c>
      <c r="C40" s="494"/>
      <c r="D40" s="494"/>
      <c r="E40" s="494"/>
      <c r="F40" s="494"/>
      <c r="G40" s="494"/>
      <c r="H40" s="494"/>
      <c r="I40" s="337"/>
      <c r="J40" s="1049"/>
      <c r="K40" s="1050"/>
      <c r="L40" s="1050"/>
      <c r="M40" s="1050"/>
      <c r="N40" s="1051"/>
    </row>
    <row r="41" spans="1:14" ht="15.75">
      <c r="A41" s="154" t="s">
        <v>619</v>
      </c>
      <c r="B41" s="331" t="s">
        <v>206</v>
      </c>
      <c r="C41" s="831" t="s">
        <v>824</v>
      </c>
      <c r="D41" s="831" t="s">
        <v>825</v>
      </c>
      <c r="E41" s="831" t="s">
        <v>964</v>
      </c>
      <c r="F41" s="831" t="s">
        <v>825</v>
      </c>
      <c r="G41" s="885">
        <v>1</v>
      </c>
      <c r="H41" s="885">
        <v>1</v>
      </c>
      <c r="I41" s="10"/>
      <c r="J41" s="1047"/>
      <c r="K41" s="1047"/>
      <c r="L41" s="1047"/>
      <c r="M41" s="1047"/>
      <c r="N41" s="1048"/>
    </row>
    <row r="42" spans="1:14" ht="15.75">
      <c r="A42" s="154" t="s">
        <v>620</v>
      </c>
      <c r="B42" s="332" t="s">
        <v>200</v>
      </c>
      <c r="C42" s="831" t="s">
        <v>826</v>
      </c>
      <c r="D42" s="831" t="s">
        <v>827</v>
      </c>
      <c r="E42" s="831" t="s">
        <v>966</v>
      </c>
      <c r="F42" s="831" t="s">
        <v>827</v>
      </c>
      <c r="G42" s="885">
        <v>1</v>
      </c>
      <c r="H42" s="885">
        <v>1</v>
      </c>
      <c r="I42" s="10"/>
      <c r="J42" s="1047"/>
      <c r="K42" s="1047"/>
      <c r="L42" s="1047"/>
      <c r="M42" s="1047"/>
      <c r="N42" s="1048"/>
    </row>
    <row r="43" spans="1:14" ht="31.5">
      <c r="A43" s="154" t="s">
        <v>621</v>
      </c>
      <c r="B43" s="332" t="s">
        <v>409</v>
      </c>
      <c r="C43" s="831" t="s">
        <v>830</v>
      </c>
      <c r="D43" s="831" t="s">
        <v>829</v>
      </c>
      <c r="E43" s="831" t="s">
        <v>830</v>
      </c>
      <c r="F43" s="831" t="s">
        <v>829</v>
      </c>
      <c r="G43" s="885">
        <v>1</v>
      </c>
      <c r="H43" s="885">
        <v>1</v>
      </c>
      <c r="I43" s="10"/>
      <c r="J43" s="1047"/>
      <c r="K43" s="1047"/>
      <c r="L43" s="1047"/>
      <c r="M43" s="1047"/>
      <c r="N43" s="1048"/>
    </row>
    <row r="44" spans="1:14" ht="31.5">
      <c r="A44" s="154" t="s">
        <v>91</v>
      </c>
      <c r="B44" s="332" t="s">
        <v>205</v>
      </c>
      <c r="C44" s="831" t="s">
        <v>828</v>
      </c>
      <c r="D44" s="831" t="s">
        <v>831</v>
      </c>
      <c r="E44" s="348" t="s">
        <v>968</v>
      </c>
      <c r="F44" s="348" t="s">
        <v>1031</v>
      </c>
      <c r="G44" s="885">
        <v>0.5</v>
      </c>
      <c r="H44" s="885">
        <v>0.5</v>
      </c>
      <c r="I44" s="10"/>
      <c r="J44" s="1047"/>
      <c r="K44" s="1047"/>
      <c r="L44" s="1047"/>
      <c r="M44" s="1047"/>
      <c r="N44" s="1048"/>
    </row>
    <row r="45" spans="1:14" ht="31.5">
      <c r="A45" s="347">
        <v>5</v>
      </c>
      <c r="B45" s="338" t="s">
        <v>413</v>
      </c>
      <c r="C45" s="494" t="s">
        <v>830</v>
      </c>
      <c r="D45" s="494" t="s">
        <v>831</v>
      </c>
      <c r="E45" s="494"/>
      <c r="F45" s="494"/>
      <c r="G45" s="461"/>
      <c r="H45" s="461"/>
      <c r="I45" s="461"/>
      <c r="J45" s="1049"/>
      <c r="K45" s="1050"/>
      <c r="L45" s="1050"/>
      <c r="M45" s="1050"/>
      <c r="N45" s="1052"/>
    </row>
    <row r="46" spans="1:14" ht="31.5">
      <c r="A46" s="347">
        <v>6</v>
      </c>
      <c r="B46" s="338" t="s">
        <v>565</v>
      </c>
      <c r="C46" s="494"/>
      <c r="D46" s="494"/>
      <c r="E46" s="494"/>
      <c r="F46" s="494"/>
      <c r="G46" s="336"/>
      <c r="H46" s="336"/>
      <c r="I46" s="337"/>
      <c r="J46" s="1049"/>
      <c r="K46" s="1050"/>
      <c r="L46" s="1050"/>
      <c r="M46" s="1050"/>
      <c r="N46" s="1051"/>
    </row>
    <row r="47" spans="1:14" ht="15.75">
      <c r="A47" s="389" t="s">
        <v>431</v>
      </c>
      <c r="B47" s="213" t="s">
        <v>414</v>
      </c>
      <c r="C47" s="831" t="s">
        <v>824</v>
      </c>
      <c r="D47" s="831" t="s">
        <v>825</v>
      </c>
      <c r="E47" s="831" t="s">
        <v>964</v>
      </c>
      <c r="F47" s="831" t="s">
        <v>825</v>
      </c>
      <c r="G47" s="885">
        <v>1</v>
      </c>
      <c r="H47" s="885">
        <v>1</v>
      </c>
      <c r="I47" s="10"/>
      <c r="J47" s="1047"/>
      <c r="K47" s="1047"/>
      <c r="L47" s="1047"/>
      <c r="M47" s="1047"/>
      <c r="N47" s="1048"/>
    </row>
    <row r="48" spans="1:14" ht="15.75">
      <c r="A48" s="389" t="s">
        <v>432</v>
      </c>
      <c r="B48" s="213" t="s">
        <v>213</v>
      </c>
      <c r="C48" s="831" t="s">
        <v>826</v>
      </c>
      <c r="D48" s="831" t="s">
        <v>828</v>
      </c>
      <c r="E48" s="831" t="s">
        <v>966</v>
      </c>
      <c r="F48" s="831" t="s">
        <v>828</v>
      </c>
      <c r="G48" s="885">
        <v>1</v>
      </c>
      <c r="H48" s="885">
        <v>1</v>
      </c>
      <c r="I48" s="10"/>
      <c r="J48" s="1047"/>
      <c r="K48" s="1047"/>
      <c r="L48" s="1047"/>
      <c r="M48" s="1047"/>
      <c r="N48" s="1048"/>
    </row>
    <row r="49" spans="1:14" ht="31.5">
      <c r="A49" s="389" t="s">
        <v>433</v>
      </c>
      <c r="B49" s="213" t="s">
        <v>415</v>
      </c>
      <c r="C49" s="831" t="s">
        <v>828</v>
      </c>
      <c r="D49" s="831" t="s">
        <v>831</v>
      </c>
      <c r="E49" s="348" t="s">
        <v>968</v>
      </c>
      <c r="F49" s="348" t="s">
        <v>1031</v>
      </c>
      <c r="G49" s="885">
        <v>1</v>
      </c>
      <c r="H49" s="885">
        <v>1</v>
      </c>
      <c r="I49" s="10"/>
      <c r="J49" s="1047"/>
      <c r="K49" s="1047"/>
      <c r="L49" s="1047"/>
      <c r="M49" s="1047"/>
      <c r="N49" s="1048"/>
    </row>
    <row r="64" ht="15.75">
      <c r="A64" s="1" t="s">
        <v>379</v>
      </c>
    </row>
  </sheetData>
  <sheetProtection/>
  <protectedRanges>
    <protectedRange sqref="B28" name="Диапазон1_91_5_1_3_1"/>
  </protectedRanges>
  <mergeCells count="46">
    <mergeCell ref="K10:N10"/>
    <mergeCell ref="A5:N5"/>
    <mergeCell ref="A13:I13"/>
    <mergeCell ref="A15:I15"/>
    <mergeCell ref="A16:A20"/>
    <mergeCell ref="B16:B20"/>
    <mergeCell ref="C17:D17"/>
    <mergeCell ref="C18:C20"/>
    <mergeCell ref="D18:D20"/>
    <mergeCell ref="E18:E20"/>
    <mergeCell ref="J27:N27"/>
    <mergeCell ref="J23:N23"/>
    <mergeCell ref="I16:I20"/>
    <mergeCell ref="J22:N22"/>
    <mergeCell ref="J24:N24"/>
    <mergeCell ref="J21:N21"/>
    <mergeCell ref="J29:N29"/>
    <mergeCell ref="J28:N28"/>
    <mergeCell ref="E17:F17"/>
    <mergeCell ref="H16:H20"/>
    <mergeCell ref="J16:N20"/>
    <mergeCell ref="J26:N26"/>
    <mergeCell ref="F18:F20"/>
    <mergeCell ref="G16:G20"/>
    <mergeCell ref="J25:N25"/>
    <mergeCell ref="C16:F16"/>
    <mergeCell ref="J30:N30"/>
    <mergeCell ref="J31:N31"/>
    <mergeCell ref="J32:N3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J48:N48"/>
    <mergeCell ref="J49:N49"/>
    <mergeCell ref="J42:N42"/>
    <mergeCell ref="J43:N43"/>
    <mergeCell ref="J44:N44"/>
    <mergeCell ref="J46:N46"/>
    <mergeCell ref="J47:N47"/>
    <mergeCell ref="J45:N45"/>
  </mergeCells>
  <printOptions/>
  <pageMargins left="0" right="0" top="0.35433070866141736" bottom="0.5511811023622047" header="0" footer="0"/>
  <pageSetup fitToHeight="5" fitToWidth="1" horizontalDpi="600" verticalDpi="600" orientation="portrait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zoomScalePageLayoutView="0" workbookViewId="0" topLeftCell="A1">
      <selection activeCell="D19" sqref="D19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514</v>
      </c>
    </row>
    <row r="2" ht="15.75">
      <c r="C2" s="4" t="s">
        <v>292</v>
      </c>
    </row>
    <row r="3" ht="15.75">
      <c r="C3" s="4" t="s">
        <v>301</v>
      </c>
    </row>
    <row r="4" ht="15.75">
      <c r="C4" s="4"/>
    </row>
    <row r="5" spans="1:16" ht="42.75" customHeight="1">
      <c r="A5" s="975" t="s">
        <v>1034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3:5" ht="15.75">
      <c r="C7" s="4" t="s">
        <v>293</v>
      </c>
      <c r="D7" s="258"/>
      <c r="E7" s="4"/>
    </row>
    <row r="8" spans="3:5" ht="15.75">
      <c r="C8" s="4" t="s">
        <v>995</v>
      </c>
      <c r="D8" s="258"/>
      <c r="E8" s="4"/>
    </row>
    <row r="9" spans="3:5" ht="15.75">
      <c r="C9" s="4" t="s">
        <v>569</v>
      </c>
      <c r="D9" s="258"/>
      <c r="E9" s="4"/>
    </row>
    <row r="10" spans="2:4" ht="15.75" customHeight="1">
      <c r="B10" s="1030" t="s">
        <v>997</v>
      </c>
      <c r="C10" s="1030"/>
      <c r="D10" s="315"/>
    </row>
    <row r="11" ht="15.75">
      <c r="C11" s="4" t="s">
        <v>1025</v>
      </c>
    </row>
    <row r="12" spans="3:4" ht="15.75">
      <c r="C12" s="4" t="s">
        <v>294</v>
      </c>
      <c r="D12" s="258"/>
    </row>
    <row r="14" ht="15.75">
      <c r="A14" s="18" t="s">
        <v>464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342">
        <v>1</v>
      </c>
      <c r="B17" s="343" t="s">
        <v>206</v>
      </c>
      <c r="C17" s="112"/>
    </row>
    <row r="18" spans="1:3" ht="15.75">
      <c r="A18" s="104" t="s">
        <v>612</v>
      </c>
      <c r="B18" s="113" t="s">
        <v>465</v>
      </c>
      <c r="C18" s="30" t="s">
        <v>714</v>
      </c>
    </row>
    <row r="19" spans="1:3" ht="15.75">
      <c r="A19" s="104">
        <v>2</v>
      </c>
      <c r="B19" s="114" t="s">
        <v>200</v>
      </c>
      <c r="C19" s="115"/>
    </row>
    <row r="20" spans="1:3" ht="16.5" thickBot="1">
      <c r="A20" s="106" t="s">
        <v>615</v>
      </c>
      <c r="B20" s="107" t="s">
        <v>466</v>
      </c>
      <c r="C20" s="32" t="s">
        <v>715</v>
      </c>
    </row>
  </sheetData>
  <sheetProtection/>
  <mergeCells count="2">
    <mergeCell ref="A5:C5"/>
    <mergeCell ref="B10:C10"/>
  </mergeCells>
  <printOptions/>
  <pageMargins left="0.7874015748031497" right="0" top="0.5905511811023623" bottom="0.3937007874015748" header="0" footer="0"/>
  <pageSetup fitToHeight="1" fitToWidth="1"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3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514</v>
      </c>
    </row>
    <row r="2" ht="15.75">
      <c r="C2" s="4" t="s">
        <v>292</v>
      </c>
    </row>
    <row r="3" ht="15.75">
      <c r="C3" s="4" t="s">
        <v>301</v>
      </c>
    </row>
    <row r="4" ht="15.75">
      <c r="C4" s="4"/>
    </row>
    <row r="5" spans="1:16" ht="42.75" customHeight="1">
      <c r="A5" s="975" t="s">
        <v>1034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3:5" ht="15.75">
      <c r="C7" s="4" t="s">
        <v>293</v>
      </c>
      <c r="D7" s="258"/>
      <c r="E7" s="4"/>
    </row>
    <row r="8" spans="3:5" ht="15.75">
      <c r="C8" s="4" t="s">
        <v>995</v>
      </c>
      <c r="D8" s="258"/>
      <c r="E8" s="4"/>
    </row>
    <row r="9" spans="3:5" ht="15.75">
      <c r="C9" s="4" t="s">
        <v>569</v>
      </c>
      <c r="D9" s="258"/>
      <c r="E9" s="4"/>
    </row>
    <row r="10" spans="2:4" ht="15.75" customHeight="1">
      <c r="B10" s="1030" t="s">
        <v>997</v>
      </c>
      <c r="C10" s="1030"/>
      <c r="D10" s="315"/>
    </row>
    <row r="11" ht="15.75">
      <c r="C11" s="4" t="s">
        <v>1025</v>
      </c>
    </row>
    <row r="12" spans="3:4" ht="15.75">
      <c r="C12" s="4" t="s">
        <v>294</v>
      </c>
      <c r="D12" s="258"/>
    </row>
    <row r="14" ht="15.75">
      <c r="A14" s="18" t="s">
        <v>467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342">
        <v>1</v>
      </c>
      <c r="B17" s="343" t="s">
        <v>206</v>
      </c>
      <c r="C17" s="112"/>
    </row>
    <row r="18" spans="1:3" ht="15.75">
      <c r="A18" s="104" t="s">
        <v>612</v>
      </c>
      <c r="B18" s="213" t="s">
        <v>414</v>
      </c>
      <c r="C18" s="30" t="s">
        <v>714</v>
      </c>
    </row>
    <row r="19" spans="1:3" ht="31.5">
      <c r="A19" s="104" t="s">
        <v>613</v>
      </c>
      <c r="B19" s="206" t="s">
        <v>468</v>
      </c>
      <c r="C19" s="30" t="s">
        <v>714</v>
      </c>
    </row>
    <row r="20" spans="1:3" ht="15.75">
      <c r="A20" s="104" t="s">
        <v>623</v>
      </c>
      <c r="B20" s="213" t="s">
        <v>469</v>
      </c>
      <c r="C20" s="30" t="s">
        <v>716</v>
      </c>
    </row>
    <row r="21" spans="1:3" ht="15.75">
      <c r="A21" s="104" t="s">
        <v>640</v>
      </c>
      <c r="B21" s="13" t="s">
        <v>470</v>
      </c>
      <c r="C21" s="30" t="s">
        <v>717</v>
      </c>
    </row>
    <row r="22" spans="1:3" ht="15.75">
      <c r="A22" s="104">
        <v>2</v>
      </c>
      <c r="B22" s="114" t="s">
        <v>200</v>
      </c>
      <c r="C22" s="115"/>
    </row>
    <row r="23" spans="1:3" ht="16.5" thickBot="1">
      <c r="A23" s="106" t="s">
        <v>615</v>
      </c>
      <c r="B23" s="327" t="s">
        <v>415</v>
      </c>
      <c r="C23" s="32" t="s">
        <v>718</v>
      </c>
    </row>
  </sheetData>
  <sheetProtection/>
  <mergeCells count="2">
    <mergeCell ref="A5:C5"/>
    <mergeCell ref="B10:C10"/>
  </mergeCells>
  <printOptions/>
  <pageMargins left="0.7874015748031497" right="0" top="0.5905511811023623" bottom="0.1968503937007874" header="0" footer="0"/>
  <pageSetup fitToHeight="1" fitToWidth="1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514</v>
      </c>
    </row>
    <row r="2" ht="15.75">
      <c r="C2" s="4" t="s">
        <v>292</v>
      </c>
    </row>
    <row r="3" ht="15.75">
      <c r="C3" s="4" t="s">
        <v>301</v>
      </c>
    </row>
    <row r="4" ht="15.75">
      <c r="C4" s="4"/>
    </row>
    <row r="5" spans="1:16" ht="42.75" customHeight="1">
      <c r="A5" s="975" t="s">
        <v>1034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3:5" ht="15.75">
      <c r="C7" s="4" t="s">
        <v>293</v>
      </c>
      <c r="D7" s="258"/>
      <c r="E7" s="4"/>
    </row>
    <row r="8" spans="3:5" ht="15.75">
      <c r="C8" s="4" t="s">
        <v>995</v>
      </c>
      <c r="D8" s="258"/>
      <c r="E8" s="4"/>
    </row>
    <row r="9" spans="3:5" ht="15.75">
      <c r="C9" s="4" t="s">
        <v>569</v>
      </c>
      <c r="D9" s="258"/>
      <c r="E9" s="4"/>
    </row>
    <row r="10" spans="2:4" ht="15.75">
      <c r="B10" s="1030" t="s">
        <v>997</v>
      </c>
      <c r="C10" s="1030"/>
      <c r="D10" s="315"/>
    </row>
    <row r="11" ht="15.75">
      <c r="C11" s="4" t="s">
        <v>1025</v>
      </c>
    </row>
    <row r="12" spans="3:4" ht="15.75">
      <c r="C12" s="4" t="s">
        <v>294</v>
      </c>
      <c r="D12" s="258"/>
    </row>
    <row r="14" ht="15.75">
      <c r="A14" s="18" t="s">
        <v>461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103">
        <v>1</v>
      </c>
      <c r="B17" s="111" t="s">
        <v>206</v>
      </c>
      <c r="C17" s="112"/>
    </row>
    <row r="18" spans="1:3" ht="15.75">
      <c r="A18" s="104" t="s">
        <v>612</v>
      </c>
      <c r="B18" s="113" t="s">
        <v>207</v>
      </c>
      <c r="C18" s="30" t="s">
        <v>714</v>
      </c>
    </row>
    <row r="19" spans="1:3" ht="15.75">
      <c r="A19" s="104" t="s">
        <v>613</v>
      </c>
      <c r="B19" s="113" t="s">
        <v>208</v>
      </c>
      <c r="C19" s="30" t="s">
        <v>714</v>
      </c>
    </row>
    <row r="20" spans="1:3" ht="15.75">
      <c r="A20" s="104" t="s">
        <v>623</v>
      </c>
      <c r="B20" s="105" t="s">
        <v>462</v>
      </c>
      <c r="C20" s="30" t="s">
        <v>715</v>
      </c>
    </row>
    <row r="21" spans="1:3" ht="31.5">
      <c r="A21" s="104" t="s">
        <v>640</v>
      </c>
      <c r="B21" s="105" t="s">
        <v>209</v>
      </c>
      <c r="C21" s="30" t="s">
        <v>715</v>
      </c>
    </row>
    <row r="22" spans="1:3" ht="15.75">
      <c r="A22" s="104" t="s">
        <v>210</v>
      </c>
      <c r="B22" s="105" t="s">
        <v>211</v>
      </c>
      <c r="C22" s="30" t="s">
        <v>719</v>
      </c>
    </row>
    <row r="23" spans="1:3" ht="15.75">
      <c r="A23" s="104" t="s">
        <v>212</v>
      </c>
      <c r="B23" s="105" t="s">
        <v>213</v>
      </c>
      <c r="C23" s="30" t="s">
        <v>719</v>
      </c>
    </row>
    <row r="24" spans="1:3" ht="15.75">
      <c r="A24" s="104">
        <v>2</v>
      </c>
      <c r="B24" s="114" t="s">
        <v>200</v>
      </c>
      <c r="C24" s="115"/>
    </row>
    <row r="25" spans="1:3" ht="15.75">
      <c r="A25" s="104" t="s">
        <v>615</v>
      </c>
      <c r="B25" s="105" t="s">
        <v>214</v>
      </c>
      <c r="C25" s="30" t="s">
        <v>720</v>
      </c>
    </row>
    <row r="26" spans="1:3" ht="31.5">
      <c r="A26" s="104" t="s">
        <v>616</v>
      </c>
      <c r="B26" s="105" t="s">
        <v>215</v>
      </c>
      <c r="C26" s="30" t="s">
        <v>720</v>
      </c>
    </row>
    <row r="27" spans="1:3" ht="31.5">
      <c r="A27" s="104" t="s">
        <v>617</v>
      </c>
      <c r="B27" s="105" t="s">
        <v>216</v>
      </c>
      <c r="C27" s="30" t="s">
        <v>714</v>
      </c>
    </row>
    <row r="28" spans="1:3" ht="15.75">
      <c r="A28" s="104">
        <v>3</v>
      </c>
      <c r="B28" s="114" t="s">
        <v>463</v>
      </c>
      <c r="C28" s="115"/>
    </row>
    <row r="29" spans="1:3" ht="30.75" customHeight="1">
      <c r="A29" s="104" t="s">
        <v>201</v>
      </c>
      <c r="B29" s="105" t="s">
        <v>218</v>
      </c>
      <c r="C29" s="30" t="s">
        <v>715</v>
      </c>
    </row>
    <row r="30" spans="1:3" ht="15.75">
      <c r="A30" s="104" t="s">
        <v>202</v>
      </c>
      <c r="B30" s="105" t="s">
        <v>219</v>
      </c>
      <c r="C30" s="30" t="s">
        <v>715</v>
      </c>
    </row>
    <row r="31" spans="1:3" ht="15.75">
      <c r="A31" s="104" t="s">
        <v>203</v>
      </c>
      <c r="B31" s="105" t="s">
        <v>220</v>
      </c>
      <c r="C31" s="30" t="s">
        <v>715</v>
      </c>
    </row>
    <row r="32" spans="1:3" ht="15.75">
      <c r="A32" s="104" t="s">
        <v>221</v>
      </c>
      <c r="B32" s="105" t="s">
        <v>222</v>
      </c>
      <c r="C32" s="30" t="s">
        <v>718</v>
      </c>
    </row>
    <row r="33" spans="1:3" ht="15.75">
      <c r="A33" s="104" t="s">
        <v>223</v>
      </c>
      <c r="B33" s="105" t="s">
        <v>224</v>
      </c>
      <c r="C33" s="30" t="s">
        <v>718</v>
      </c>
    </row>
    <row r="34" spans="1:3" ht="15.75">
      <c r="A34" s="104">
        <v>4</v>
      </c>
      <c r="B34" s="114" t="s">
        <v>205</v>
      </c>
      <c r="C34" s="115"/>
    </row>
    <row r="35" spans="1:3" ht="15.75">
      <c r="A35" s="104" t="s">
        <v>619</v>
      </c>
      <c r="B35" s="105" t="s">
        <v>225</v>
      </c>
      <c r="C35" s="30" t="s">
        <v>719</v>
      </c>
    </row>
    <row r="36" spans="1:3" ht="31.5">
      <c r="A36" s="104" t="s">
        <v>620</v>
      </c>
      <c r="B36" s="105" t="s">
        <v>226</v>
      </c>
      <c r="C36" s="30" t="s">
        <v>719</v>
      </c>
    </row>
    <row r="37" spans="1:3" ht="16.5" thickBot="1">
      <c r="A37" s="345" t="s">
        <v>621</v>
      </c>
      <c r="B37" s="674" t="s">
        <v>227</v>
      </c>
      <c r="C37" s="675" t="s">
        <v>719</v>
      </c>
    </row>
    <row r="38" spans="1:3" ht="16.5" thickBot="1">
      <c r="A38" s="676" t="s">
        <v>91</v>
      </c>
      <c r="B38" s="677" t="s">
        <v>231</v>
      </c>
      <c r="C38" s="678" t="s">
        <v>719</v>
      </c>
    </row>
  </sheetData>
  <sheetProtection/>
  <mergeCells count="2">
    <mergeCell ref="A5:C5"/>
    <mergeCell ref="B10:C10"/>
  </mergeCells>
  <printOptions/>
  <pageMargins left="0.7874015748031497" right="0" top="0.5905511811023623" bottom="0.1968503937007874" header="0" footer="0"/>
  <pageSetup fitToHeight="1" fitToWidth="1"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C15" sqref="C15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514</v>
      </c>
    </row>
    <row r="3" ht="15.75">
      <c r="C3" s="4" t="s">
        <v>292</v>
      </c>
    </row>
    <row r="4" ht="15.75">
      <c r="C4" s="4" t="s">
        <v>301</v>
      </c>
    </row>
    <row r="5" ht="15.75">
      <c r="C5" s="4"/>
    </row>
    <row r="6" spans="1:3" ht="36.75" customHeight="1">
      <c r="A6" s="975" t="s">
        <v>811</v>
      </c>
      <c r="B6" s="975"/>
      <c r="C6" s="975"/>
    </row>
    <row r="7" ht="15.75">
      <c r="C7" s="4" t="s">
        <v>293</v>
      </c>
    </row>
    <row r="8" ht="15.75">
      <c r="C8" s="4" t="s">
        <v>568</v>
      </c>
    </row>
    <row r="9" ht="15.75">
      <c r="C9" s="4" t="s">
        <v>569</v>
      </c>
    </row>
    <row r="10" ht="15.75">
      <c r="C10" s="316" t="s">
        <v>812</v>
      </c>
    </row>
    <row r="11" ht="15.75">
      <c r="C11" s="4" t="s">
        <v>50</v>
      </c>
    </row>
    <row r="12" ht="15.75">
      <c r="A12" s="18" t="s">
        <v>437</v>
      </c>
    </row>
    <row r="13" ht="16.5" thickBot="1"/>
    <row r="14" spans="1:3" ht="16.5" thickBot="1">
      <c r="A14" s="108" t="s">
        <v>609</v>
      </c>
      <c r="B14" s="109" t="s">
        <v>196</v>
      </c>
      <c r="C14" s="110" t="s">
        <v>197</v>
      </c>
    </row>
    <row r="15" spans="1:3" ht="15.75">
      <c r="A15" s="104">
        <v>2</v>
      </c>
      <c r="B15" s="114" t="s">
        <v>200</v>
      </c>
      <c r="C15" s="115"/>
    </row>
    <row r="16" spans="1:3" ht="31.5">
      <c r="A16" s="104" t="s">
        <v>615</v>
      </c>
      <c r="B16" s="105" t="s">
        <v>450</v>
      </c>
      <c r="C16" s="30" t="s">
        <v>199</v>
      </c>
    </row>
    <row r="17" spans="1:3" ht="15.75">
      <c r="A17" s="104" t="s">
        <v>616</v>
      </c>
      <c r="B17" s="105" t="s">
        <v>459</v>
      </c>
      <c r="C17" s="30" t="s">
        <v>199</v>
      </c>
    </row>
    <row r="18" spans="1:3" ht="31.5">
      <c r="A18" s="104">
        <v>3</v>
      </c>
      <c r="B18" s="114" t="s">
        <v>217</v>
      </c>
      <c r="C18" s="115"/>
    </row>
    <row r="19" spans="1:3" ht="15.75">
      <c r="A19" s="104" t="s">
        <v>202</v>
      </c>
      <c r="B19" s="105" t="s">
        <v>219</v>
      </c>
      <c r="C19" s="30" t="s">
        <v>199</v>
      </c>
    </row>
    <row r="20" spans="1:3" ht="15.75">
      <c r="A20" s="104" t="s">
        <v>203</v>
      </c>
      <c r="B20" s="105" t="s">
        <v>220</v>
      </c>
      <c r="C20" s="30" t="s">
        <v>198</v>
      </c>
    </row>
    <row r="21" spans="1:3" ht="15.75">
      <c r="A21" s="104" t="s">
        <v>221</v>
      </c>
      <c r="B21" s="105" t="s">
        <v>222</v>
      </c>
      <c r="C21" s="30" t="s">
        <v>198</v>
      </c>
    </row>
    <row r="22" spans="1:3" ht="15.75">
      <c r="A22" s="104" t="s">
        <v>223</v>
      </c>
      <c r="B22" s="105" t="s">
        <v>456</v>
      </c>
      <c r="C22" s="30" t="s">
        <v>199</v>
      </c>
    </row>
    <row r="23" spans="1:3" ht="15.75">
      <c r="A23" s="104">
        <v>4</v>
      </c>
      <c r="B23" s="114" t="s">
        <v>205</v>
      </c>
      <c r="C23" s="115"/>
    </row>
    <row r="24" spans="1:3" ht="15.75">
      <c r="A24" s="104" t="s">
        <v>619</v>
      </c>
      <c r="B24" s="105" t="s">
        <v>225</v>
      </c>
      <c r="C24" s="30" t="s">
        <v>198</v>
      </c>
    </row>
    <row r="25" spans="1:3" ht="31.5">
      <c r="A25" s="104" t="s">
        <v>620</v>
      </c>
      <c r="B25" s="105" t="s">
        <v>226</v>
      </c>
      <c r="C25" s="30" t="s">
        <v>199</v>
      </c>
    </row>
    <row r="26" spans="1:3" ht="16.5" thickBot="1">
      <c r="A26" s="106" t="s">
        <v>621</v>
      </c>
      <c r="B26" s="107" t="s">
        <v>227</v>
      </c>
      <c r="C26" s="32" t="s">
        <v>199</v>
      </c>
    </row>
    <row r="27" spans="1:3" ht="30.75" customHeight="1" thickBot="1">
      <c r="A27" s="106" t="s">
        <v>91</v>
      </c>
      <c r="B27" s="107" t="s">
        <v>231</v>
      </c>
      <c r="C27" s="32" t="s">
        <v>199</v>
      </c>
    </row>
  </sheetData>
  <sheetProtection/>
  <mergeCells count="1">
    <mergeCell ref="A6:C6"/>
  </mergeCells>
  <printOptions/>
  <pageMargins left="0.7874015748031497" right="0" top="0.5905511811023623" bottom="0" header="0" footer="0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47"/>
  <sheetViews>
    <sheetView zoomScalePageLayoutView="0" workbookViewId="0" topLeftCell="A1">
      <selection activeCell="F20" sqref="F20"/>
    </sheetView>
  </sheetViews>
  <sheetFormatPr defaultColWidth="9.00390625" defaultRowHeight="15.75"/>
  <cols>
    <col min="1" max="1" width="33.125" style="0" customWidth="1"/>
    <col min="2" max="2" width="11.25390625" style="0" customWidth="1"/>
    <col min="3" max="3" width="15.625" style="0" customWidth="1"/>
    <col min="4" max="4" width="13.625" style="0" customWidth="1"/>
    <col min="5" max="5" width="13.00390625" style="0" customWidth="1"/>
    <col min="6" max="6" width="17.625" style="0" customWidth="1"/>
    <col min="7" max="7" width="11.625" style="0" hidden="1" customWidth="1"/>
    <col min="8" max="8" width="13.875" style="0" customWidth="1"/>
    <col min="9" max="9" width="17.25390625" style="0" customWidth="1"/>
  </cols>
  <sheetData>
    <row r="1" spans="1:8" ht="15.75">
      <c r="A1" s="894" t="s">
        <v>42</v>
      </c>
      <c r="B1" s="894"/>
      <c r="C1" s="894"/>
      <c r="D1" s="894"/>
      <c r="E1" s="894"/>
      <c r="F1" s="894"/>
      <c r="G1" s="894"/>
      <c r="H1" s="894"/>
    </row>
    <row r="2" spans="1:8" ht="29.25" customHeight="1" thickBot="1">
      <c r="A2" s="895"/>
      <c r="B2" s="895"/>
      <c r="C2" s="895"/>
      <c r="D2" s="895"/>
      <c r="E2" s="896"/>
      <c r="F2" s="896"/>
      <c r="G2" s="896"/>
      <c r="H2" s="896"/>
    </row>
    <row r="3" spans="1:8" ht="51.75" customHeight="1" thickBot="1">
      <c r="A3" s="514" t="s">
        <v>382</v>
      </c>
      <c r="B3" s="518" t="s">
        <v>168</v>
      </c>
      <c r="C3" s="518" t="s">
        <v>169</v>
      </c>
      <c r="D3" s="519" t="s">
        <v>170</v>
      </c>
      <c r="E3" s="421" t="s">
        <v>309</v>
      </c>
      <c r="F3" s="391" t="s">
        <v>172</v>
      </c>
      <c r="G3" s="392" t="s">
        <v>383</v>
      </c>
      <c r="H3" s="530" t="s">
        <v>171</v>
      </c>
    </row>
    <row r="4" spans="1:8" ht="18.75" customHeight="1" thickBot="1">
      <c r="A4" s="514" t="s">
        <v>384</v>
      </c>
      <c r="B4" s="520">
        <f>SUM(C4:D4)</f>
        <v>108071.73959999999</v>
      </c>
      <c r="C4" s="520">
        <f>C5+C24+C30</f>
        <v>96271.73959999999</v>
      </c>
      <c r="D4" s="520">
        <f>D5+D24+D30+D36</f>
        <v>11800</v>
      </c>
      <c r="E4" s="420">
        <f>SUM(F4:H4)</f>
        <v>91586.22</v>
      </c>
      <c r="F4" s="393">
        <f>F5+F24+F30+F36</f>
        <v>81586.22</v>
      </c>
      <c r="G4" s="393">
        <f>G5+G24+G30+G36</f>
        <v>0</v>
      </c>
      <c r="H4" s="393">
        <f>H5+H24+H30+H36</f>
        <v>10000</v>
      </c>
    </row>
    <row r="5" spans="1:10" ht="27" customHeight="1">
      <c r="A5" s="405" t="s">
        <v>385</v>
      </c>
      <c r="B5" s="520">
        <f>B6+B11+B17+B21+B22+B23+B20</f>
        <v>83872.83059999999</v>
      </c>
      <c r="C5" s="520">
        <f>C6+C11+C17+C21+C22+C23+C20</f>
        <v>83872.83059999999</v>
      </c>
      <c r="D5" s="520">
        <f>D6+D11+D17+D21+D22+D23+D20</f>
        <v>0</v>
      </c>
      <c r="E5" s="394">
        <f>E6+E11+E17+E21+E22+E23+E20</f>
        <v>71078.67</v>
      </c>
      <c r="F5" s="394">
        <f>F6+F11+F17+F21+F22+F23+F20</f>
        <v>71078.67</v>
      </c>
      <c r="G5" s="394">
        <f>G6+G11+G17+G21</f>
        <v>0</v>
      </c>
      <c r="H5" s="394">
        <f>H6+H11+H17+H21</f>
        <v>0</v>
      </c>
      <c r="I5" s="395"/>
      <c r="J5" s="395"/>
    </row>
    <row r="6" spans="1:10" ht="26.25">
      <c r="A6" s="397" t="s">
        <v>550</v>
      </c>
      <c r="B6" s="520">
        <f>SUM(C6:D6)</f>
        <v>18522.719599999997</v>
      </c>
      <c r="C6" s="520">
        <f>SUM(C7:C10)</f>
        <v>18522.719599999997</v>
      </c>
      <c r="D6" s="520">
        <f>SUM(D7:D10)</f>
        <v>0</v>
      </c>
      <c r="E6" s="426">
        <f aca="true" t="shared" si="0" ref="E6:E37">SUM(F6:H6)</f>
        <v>15697.22</v>
      </c>
      <c r="F6" s="398">
        <f>SUM(F7:F10)</f>
        <v>15697.22</v>
      </c>
      <c r="G6" s="398">
        <f>SUM(G7:G10)</f>
        <v>0</v>
      </c>
      <c r="H6" s="396"/>
      <c r="I6" s="395"/>
      <c r="J6" s="395"/>
    </row>
    <row r="7" spans="1:10" ht="31.5">
      <c r="A7" s="206" t="s">
        <v>551</v>
      </c>
      <c r="B7" s="520">
        <f aca="true" t="shared" si="1" ref="B7:B23">SUM(C7:D7)</f>
        <v>997.0173999999998</v>
      </c>
      <c r="C7" s="522">
        <f>F7*1.18</f>
        <v>997.0173999999998</v>
      </c>
      <c r="D7" s="523"/>
      <c r="E7" s="427">
        <f>SUM(F7:H7)</f>
        <v>844.93</v>
      </c>
      <c r="F7" s="229">
        <v>844.93</v>
      </c>
      <c r="G7" s="399"/>
      <c r="H7" s="396"/>
      <c r="I7" s="395"/>
      <c r="J7" s="395"/>
    </row>
    <row r="8" spans="1:10" ht="31.5">
      <c r="A8" s="206" t="s">
        <v>552</v>
      </c>
      <c r="B8" s="520">
        <f t="shared" si="1"/>
        <v>2334.8306</v>
      </c>
      <c r="C8" s="522">
        <f aca="true" t="shared" si="2" ref="C8:C35">F8*1.18</f>
        <v>2334.8306</v>
      </c>
      <c r="D8" s="523"/>
      <c r="E8" s="427">
        <f t="shared" si="0"/>
        <v>1978.67</v>
      </c>
      <c r="F8" s="230">
        <v>1978.67</v>
      </c>
      <c r="G8" s="399"/>
      <c r="H8" s="396"/>
      <c r="I8" s="395"/>
      <c r="J8" s="395"/>
    </row>
    <row r="9" spans="1:10" ht="31.5">
      <c r="A9" s="206" t="s">
        <v>553</v>
      </c>
      <c r="B9" s="520">
        <f t="shared" si="1"/>
        <v>2936.6659999999997</v>
      </c>
      <c r="C9" s="522">
        <f t="shared" si="2"/>
        <v>2936.6659999999997</v>
      </c>
      <c r="D9" s="523"/>
      <c r="E9" s="427">
        <f t="shared" si="0"/>
        <v>2488.7</v>
      </c>
      <c r="F9" s="230">
        <v>2488.7</v>
      </c>
      <c r="G9" s="399"/>
      <c r="H9" s="396"/>
      <c r="I9" s="395"/>
      <c r="J9" s="395"/>
    </row>
    <row r="10" spans="1:10" ht="31.5">
      <c r="A10" s="206" t="s">
        <v>422</v>
      </c>
      <c r="B10" s="520">
        <f t="shared" si="1"/>
        <v>12254.2056</v>
      </c>
      <c r="C10" s="522">
        <f t="shared" si="2"/>
        <v>12254.2056</v>
      </c>
      <c r="D10" s="523"/>
      <c r="E10" s="427">
        <f t="shared" si="0"/>
        <v>10384.92</v>
      </c>
      <c r="F10" s="230">
        <v>10384.92</v>
      </c>
      <c r="G10" s="399"/>
      <c r="H10" s="396"/>
      <c r="I10" s="395"/>
      <c r="J10" s="395"/>
    </row>
    <row r="11" spans="1:10" ht="18.75" customHeight="1">
      <c r="A11" s="428" t="s">
        <v>554</v>
      </c>
      <c r="B11" s="520">
        <f t="shared" si="1"/>
        <v>14777.9306</v>
      </c>
      <c r="C11" s="521">
        <f>SUM(C12:C16)</f>
        <v>14777.9306</v>
      </c>
      <c r="D11" s="521">
        <f>SUM(D12:D16)</f>
        <v>0</v>
      </c>
      <c r="E11" s="427">
        <f t="shared" si="0"/>
        <v>12523.67</v>
      </c>
      <c r="F11" s="401">
        <f>SUM(F12:F16)</f>
        <v>12523.67</v>
      </c>
      <c r="G11" s="401">
        <f>SUM(G12:G16)</f>
        <v>0</v>
      </c>
      <c r="H11" s="396"/>
      <c r="I11" s="395"/>
      <c r="J11" s="395"/>
    </row>
    <row r="12" spans="1:10" ht="15.75">
      <c r="A12" s="402" t="s">
        <v>386</v>
      </c>
      <c r="B12" s="520">
        <f t="shared" si="1"/>
        <v>12417.14</v>
      </c>
      <c r="C12" s="522">
        <f t="shared" si="2"/>
        <v>12417.14</v>
      </c>
      <c r="D12" s="523"/>
      <c r="E12" s="427">
        <f t="shared" si="0"/>
        <v>10523</v>
      </c>
      <c r="F12" s="400">
        <v>10523</v>
      </c>
      <c r="G12" s="399"/>
      <c r="H12" s="396"/>
      <c r="I12" s="395"/>
      <c r="J12" s="395"/>
    </row>
    <row r="13" spans="1:10" ht="31.5">
      <c r="A13" s="208" t="s">
        <v>556</v>
      </c>
      <c r="B13" s="520">
        <f t="shared" si="1"/>
        <v>342.9552</v>
      </c>
      <c r="C13" s="522">
        <f t="shared" si="2"/>
        <v>342.9552</v>
      </c>
      <c r="D13" s="523"/>
      <c r="E13" s="427">
        <f t="shared" si="0"/>
        <v>290.64</v>
      </c>
      <c r="F13" s="400">
        <v>290.64</v>
      </c>
      <c r="G13" s="399"/>
      <c r="H13" s="396"/>
      <c r="I13" s="395"/>
      <c r="J13" s="395"/>
    </row>
    <row r="14" spans="1:10" ht="31.5">
      <c r="A14" s="208" t="s">
        <v>552</v>
      </c>
      <c r="B14" s="520">
        <f t="shared" si="1"/>
        <v>411.53679999999997</v>
      </c>
      <c r="C14" s="522">
        <f t="shared" si="2"/>
        <v>411.53679999999997</v>
      </c>
      <c r="D14" s="523"/>
      <c r="E14" s="427">
        <f t="shared" si="0"/>
        <v>348.76</v>
      </c>
      <c r="F14" s="400">
        <v>348.76</v>
      </c>
      <c r="G14" s="399"/>
      <c r="H14" s="396"/>
      <c r="I14" s="395"/>
      <c r="J14" s="395"/>
    </row>
    <row r="15" spans="1:10" ht="31.5">
      <c r="A15" s="208" t="s">
        <v>557</v>
      </c>
      <c r="B15" s="520">
        <f t="shared" si="1"/>
        <v>411.53679999999997</v>
      </c>
      <c r="C15" s="522">
        <f t="shared" si="2"/>
        <v>411.53679999999997</v>
      </c>
      <c r="D15" s="523"/>
      <c r="E15" s="427">
        <f t="shared" si="0"/>
        <v>348.76</v>
      </c>
      <c r="F15" s="400">
        <v>348.76</v>
      </c>
      <c r="G15" s="399"/>
      <c r="H15" s="396"/>
      <c r="I15" s="395"/>
      <c r="J15" s="395"/>
    </row>
    <row r="16" spans="1:10" ht="31.5">
      <c r="A16" s="208" t="s">
        <v>558</v>
      </c>
      <c r="B16" s="520">
        <f t="shared" si="1"/>
        <v>1194.7618</v>
      </c>
      <c r="C16" s="522">
        <f t="shared" si="2"/>
        <v>1194.7618</v>
      </c>
      <c r="D16" s="523"/>
      <c r="E16" s="427">
        <f t="shared" si="0"/>
        <v>1012.51</v>
      </c>
      <c r="F16" s="400">
        <v>1012.51</v>
      </c>
      <c r="G16" s="399"/>
      <c r="H16" s="396"/>
      <c r="I16" s="395"/>
      <c r="J16" s="395"/>
    </row>
    <row r="17" spans="1:10" ht="34.5" customHeight="1">
      <c r="A17" s="403" t="s">
        <v>387</v>
      </c>
      <c r="B17" s="520">
        <f t="shared" si="1"/>
        <v>16580.7936</v>
      </c>
      <c r="C17" s="520">
        <f>SUM(C18:C19)</f>
        <v>16580.7936</v>
      </c>
      <c r="D17" s="520">
        <f>SUM(D18:D19)</f>
        <v>0</v>
      </c>
      <c r="E17" s="427">
        <f t="shared" si="0"/>
        <v>14051.52</v>
      </c>
      <c r="F17" s="413">
        <f>SUM(F18:F19)</f>
        <v>14051.52</v>
      </c>
      <c r="G17" s="413">
        <f>SUM(G18:G19)</f>
        <v>0</v>
      </c>
      <c r="H17" s="413">
        <f>SUM(H18:H19)</f>
        <v>0</v>
      </c>
      <c r="I17" s="395"/>
      <c r="J17" s="395"/>
    </row>
    <row r="18" spans="1:10" ht="34.5" customHeight="1">
      <c r="A18" s="429" t="s">
        <v>52</v>
      </c>
      <c r="B18" s="520">
        <f t="shared" si="1"/>
        <v>3971.5142</v>
      </c>
      <c r="C18" s="522">
        <f t="shared" si="2"/>
        <v>3971.5142</v>
      </c>
      <c r="D18" s="520"/>
      <c r="E18" s="430">
        <f t="shared" si="0"/>
        <v>3365.69</v>
      </c>
      <c r="F18" s="406">
        <v>3365.69</v>
      </c>
      <c r="G18" s="413"/>
      <c r="H18" s="408"/>
      <c r="I18" s="395"/>
      <c r="J18" s="395"/>
    </row>
    <row r="19" spans="1:10" ht="31.5">
      <c r="A19" s="208" t="s">
        <v>560</v>
      </c>
      <c r="B19" s="520">
        <f t="shared" si="1"/>
        <v>12609.2794</v>
      </c>
      <c r="C19" s="522">
        <f t="shared" si="2"/>
        <v>12609.2794</v>
      </c>
      <c r="D19" s="523"/>
      <c r="E19" s="431">
        <f t="shared" si="0"/>
        <v>10685.83</v>
      </c>
      <c r="F19" s="230">
        <f>10685.83</f>
        <v>10685.83</v>
      </c>
      <c r="G19" s="432"/>
      <c r="H19" s="407"/>
      <c r="I19" s="395"/>
      <c r="J19" s="395"/>
    </row>
    <row r="20" spans="1:10" ht="47.25">
      <c r="A20" s="594" t="s">
        <v>685</v>
      </c>
      <c r="B20" s="520">
        <f>SUM(C20:D20)</f>
        <v>17027.399999999998</v>
      </c>
      <c r="C20" s="522">
        <f>F20*1.18</f>
        <v>17027.399999999998</v>
      </c>
      <c r="D20" s="524"/>
      <c r="E20" s="427">
        <f>SUM(F20:H20)</f>
        <v>14430</v>
      </c>
      <c r="F20" s="427">
        <v>14430</v>
      </c>
      <c r="G20" s="400"/>
      <c r="H20" s="396"/>
      <c r="I20" s="395"/>
      <c r="J20" s="395"/>
    </row>
    <row r="21" spans="1:10" ht="42.75" customHeight="1">
      <c r="A21" s="403" t="s">
        <v>388</v>
      </c>
      <c r="B21" s="520">
        <f t="shared" si="1"/>
        <v>6717.976</v>
      </c>
      <c r="C21" s="522">
        <f t="shared" si="2"/>
        <v>6717.976</v>
      </c>
      <c r="D21" s="290"/>
      <c r="E21" s="427">
        <f t="shared" si="0"/>
        <v>5693.2</v>
      </c>
      <c r="F21" s="227">
        <f>5693.2</f>
        <v>5693.2</v>
      </c>
      <c r="G21" s="227"/>
      <c r="H21" s="412"/>
      <c r="I21" s="395"/>
      <c r="J21" s="395"/>
    </row>
    <row r="22" spans="1:10" ht="42.75" customHeight="1">
      <c r="A22" s="403" t="s">
        <v>142</v>
      </c>
      <c r="B22" s="520">
        <f t="shared" si="1"/>
        <v>9892.010799999998</v>
      </c>
      <c r="C22" s="522">
        <f t="shared" si="2"/>
        <v>9892.010799999998</v>
      </c>
      <c r="D22" s="290"/>
      <c r="E22" s="427">
        <f t="shared" si="0"/>
        <v>8383.06</v>
      </c>
      <c r="F22" s="227">
        <v>8383.06</v>
      </c>
      <c r="G22" s="227"/>
      <c r="H22" s="412"/>
      <c r="I22" s="395"/>
      <c r="J22" s="395"/>
    </row>
    <row r="23" spans="1:10" ht="32.25" customHeight="1">
      <c r="A23" s="433" t="s">
        <v>389</v>
      </c>
      <c r="B23" s="520">
        <f t="shared" si="1"/>
        <v>354</v>
      </c>
      <c r="C23" s="522">
        <f t="shared" si="2"/>
        <v>354</v>
      </c>
      <c r="D23" s="525"/>
      <c r="E23" s="427">
        <f t="shared" si="0"/>
        <v>300</v>
      </c>
      <c r="F23" s="406">
        <f>180+120</f>
        <v>300</v>
      </c>
      <c r="G23" s="406"/>
      <c r="H23" s="409"/>
      <c r="I23" s="395"/>
      <c r="J23" s="395"/>
    </row>
    <row r="24" spans="1:10" s="437" customFormat="1" ht="29.25" customHeight="1">
      <c r="A24" s="515" t="s">
        <v>391</v>
      </c>
      <c r="B24" s="520">
        <f aca="true" t="shared" si="3" ref="B24:B37">SUM(C24:D24)</f>
        <v>4728.201</v>
      </c>
      <c r="C24" s="526">
        <f>SUM(C25:C29)</f>
        <v>4728.201</v>
      </c>
      <c r="D24" s="526">
        <f>SUM(D29:D29)</f>
        <v>0</v>
      </c>
      <c r="E24" s="434">
        <f t="shared" si="0"/>
        <v>4006.95</v>
      </c>
      <c r="F24" s="414">
        <f>SUM(F25:F28)</f>
        <v>4006.95</v>
      </c>
      <c r="G24" s="414">
        <f>SUM(G29:G29)</f>
        <v>0</v>
      </c>
      <c r="H24" s="435"/>
      <c r="I24" s="436"/>
      <c r="J24" s="436"/>
    </row>
    <row r="25" spans="1:10" ht="29.25" customHeight="1">
      <c r="A25" s="516" t="s">
        <v>53</v>
      </c>
      <c r="B25" s="520">
        <f>SUM(C25:D25)</f>
        <v>1627.5149999999999</v>
      </c>
      <c r="C25" s="522">
        <f>F25*1.18</f>
        <v>1627.5149999999999</v>
      </c>
      <c r="D25" s="526"/>
      <c r="E25" s="427">
        <f>SUM(F25:H25)</f>
        <v>1379.25</v>
      </c>
      <c r="F25" s="438">
        <v>1379.25</v>
      </c>
      <c r="G25" s="439"/>
      <c r="H25" s="440"/>
      <c r="I25" s="395"/>
      <c r="J25" s="395"/>
    </row>
    <row r="26" spans="1:10" ht="29.25" customHeight="1">
      <c r="A26" s="516" t="s">
        <v>143</v>
      </c>
      <c r="B26" s="520">
        <f t="shared" si="3"/>
        <v>590</v>
      </c>
      <c r="C26" s="522">
        <f t="shared" si="2"/>
        <v>590</v>
      </c>
      <c r="D26" s="526"/>
      <c r="E26" s="427">
        <f t="shared" si="0"/>
        <v>500</v>
      </c>
      <c r="F26" s="438">
        <v>500</v>
      </c>
      <c r="G26" s="439"/>
      <c r="H26" s="440"/>
      <c r="I26" s="395"/>
      <c r="J26" s="395"/>
    </row>
    <row r="27" spans="1:10" ht="29.25" customHeight="1">
      <c r="A27" s="516" t="s">
        <v>144</v>
      </c>
      <c r="B27" s="520">
        <f t="shared" si="3"/>
        <v>1920.686</v>
      </c>
      <c r="C27" s="522">
        <f t="shared" si="2"/>
        <v>1920.686</v>
      </c>
      <c r="D27" s="526"/>
      <c r="E27" s="427">
        <f t="shared" si="0"/>
        <v>1627.7</v>
      </c>
      <c r="F27" s="438">
        <v>1627.7</v>
      </c>
      <c r="G27" s="439"/>
      <c r="H27" s="440"/>
      <c r="I27" s="395"/>
      <c r="J27" s="395"/>
    </row>
    <row r="28" spans="1:10" ht="29.25" customHeight="1">
      <c r="A28" s="516" t="s">
        <v>145</v>
      </c>
      <c r="B28" s="520">
        <f t="shared" si="3"/>
        <v>590</v>
      </c>
      <c r="C28" s="522">
        <f t="shared" si="2"/>
        <v>590</v>
      </c>
      <c r="D28" s="526"/>
      <c r="E28" s="427">
        <f t="shared" si="0"/>
        <v>500</v>
      </c>
      <c r="F28" s="438">
        <v>500</v>
      </c>
      <c r="G28" s="439"/>
      <c r="H28" s="440"/>
      <c r="I28" s="395"/>
      <c r="J28" s="395"/>
    </row>
    <row r="29" spans="1:10" s="550" customFormat="1" ht="30" customHeight="1">
      <c r="A29" s="546" t="s">
        <v>388</v>
      </c>
      <c r="B29" s="547">
        <f t="shared" si="3"/>
        <v>0</v>
      </c>
      <c r="C29" s="544">
        <f t="shared" si="2"/>
        <v>0</v>
      </c>
      <c r="D29" s="540"/>
      <c r="E29" s="547">
        <f t="shared" si="0"/>
        <v>0</v>
      </c>
      <c r="F29" s="551">
        <v>0</v>
      </c>
      <c r="G29" s="541"/>
      <c r="H29" s="548"/>
      <c r="I29" s="549"/>
      <c r="J29" s="549"/>
    </row>
    <row r="30" spans="1:10" s="437" customFormat="1" ht="24" customHeight="1">
      <c r="A30" s="517" t="s">
        <v>390</v>
      </c>
      <c r="B30" s="520">
        <f t="shared" si="3"/>
        <v>7670.7080000000005</v>
      </c>
      <c r="C30" s="595">
        <f>SUM(C31:C35)</f>
        <v>7670.7080000000005</v>
      </c>
      <c r="D30" s="527">
        <f>SUM(D31:D35)</f>
        <v>0</v>
      </c>
      <c r="E30" s="441">
        <f t="shared" si="0"/>
        <v>6500.6</v>
      </c>
      <c r="F30" s="596">
        <f>SUM(F31:F35)</f>
        <v>6500.6</v>
      </c>
      <c r="G30" s="442">
        <f>SUM(G31:G35)</f>
        <v>0</v>
      </c>
      <c r="H30" s="443"/>
      <c r="I30" s="436"/>
      <c r="J30" s="436"/>
    </row>
    <row r="31" spans="1:10" ht="31.5">
      <c r="A31" s="211" t="s">
        <v>146</v>
      </c>
      <c r="B31" s="520">
        <f t="shared" si="3"/>
        <v>705.05</v>
      </c>
      <c r="C31" s="522">
        <f t="shared" si="2"/>
        <v>705.05</v>
      </c>
      <c r="D31" s="304"/>
      <c r="E31" s="427">
        <f t="shared" si="0"/>
        <v>597.5</v>
      </c>
      <c r="F31" s="229">
        <v>597.5</v>
      </c>
      <c r="G31" s="242"/>
      <c r="H31" s="396"/>
      <c r="I31" s="395"/>
      <c r="J31" s="395"/>
    </row>
    <row r="32" spans="1:10" ht="15.75">
      <c r="A32" s="211" t="s">
        <v>147</v>
      </c>
      <c r="B32" s="520">
        <f t="shared" si="3"/>
        <v>478.01800000000003</v>
      </c>
      <c r="C32" s="522">
        <f t="shared" si="2"/>
        <v>478.01800000000003</v>
      </c>
      <c r="D32" s="304"/>
      <c r="E32" s="427">
        <f t="shared" si="0"/>
        <v>405.1</v>
      </c>
      <c r="F32" s="229">
        <v>405.1</v>
      </c>
      <c r="G32" s="242"/>
      <c r="H32" s="396"/>
      <c r="I32" s="395"/>
      <c r="J32" s="395"/>
    </row>
    <row r="33" spans="1:10" ht="78.75">
      <c r="A33" s="212" t="s">
        <v>148</v>
      </c>
      <c r="B33" s="520">
        <f t="shared" si="3"/>
        <v>5357.672</v>
      </c>
      <c r="C33" s="522">
        <f t="shared" si="2"/>
        <v>5357.672</v>
      </c>
      <c r="D33" s="304"/>
      <c r="E33" s="427">
        <f t="shared" si="0"/>
        <v>4540.4</v>
      </c>
      <c r="F33" s="229">
        <v>4540.4</v>
      </c>
      <c r="G33" s="242"/>
      <c r="H33" s="396"/>
      <c r="I33" s="395"/>
      <c r="J33" s="395"/>
    </row>
    <row r="34" spans="1:10" ht="26.25">
      <c r="A34" s="404" t="s">
        <v>389</v>
      </c>
      <c r="B34" s="520">
        <f t="shared" si="3"/>
        <v>0</v>
      </c>
      <c r="C34" s="522">
        <f t="shared" si="2"/>
        <v>0</v>
      </c>
      <c r="D34" s="528"/>
      <c r="E34" s="427">
        <f t="shared" si="0"/>
        <v>0</v>
      </c>
      <c r="F34" s="229"/>
      <c r="G34" s="444"/>
      <c r="H34" s="396"/>
      <c r="I34" s="395"/>
      <c r="J34" s="395"/>
    </row>
    <row r="35" spans="1:10" ht="15.75">
      <c r="A35" s="410" t="s">
        <v>388</v>
      </c>
      <c r="B35" s="520">
        <f t="shared" si="3"/>
        <v>1129.968000000001</v>
      </c>
      <c r="C35" s="522">
        <f t="shared" si="2"/>
        <v>1129.968000000001</v>
      </c>
      <c r="D35" s="528"/>
      <c r="E35" s="427">
        <f t="shared" si="0"/>
        <v>957.6000000000008</v>
      </c>
      <c r="F35" s="229">
        <f>6500.6-F33-F32-F31</f>
        <v>957.6000000000008</v>
      </c>
      <c r="G35" s="444"/>
      <c r="H35" s="396"/>
      <c r="I35" s="395"/>
      <c r="J35" s="395"/>
    </row>
    <row r="36" spans="1:8" ht="15.75">
      <c r="A36" s="517" t="s">
        <v>149</v>
      </c>
      <c r="B36" s="520">
        <f t="shared" si="3"/>
        <v>11800</v>
      </c>
      <c r="C36" s="595">
        <f>SUM(C37:C37)</f>
        <v>0</v>
      </c>
      <c r="D36" s="527">
        <f>SUM(D37:D37)</f>
        <v>11800</v>
      </c>
      <c r="E36" s="441">
        <f>SUM(F36:H36)</f>
        <v>10000</v>
      </c>
      <c r="F36" s="596">
        <f>SUM(F37:F37)</f>
        <v>0</v>
      </c>
      <c r="G36" s="442">
        <f>SUM(G37:G37)</f>
        <v>0</v>
      </c>
      <c r="H36" s="442">
        <f>SUM(H37)</f>
        <v>10000</v>
      </c>
    </row>
    <row r="37" spans="1:8" ht="47.25">
      <c r="A37" s="209" t="s">
        <v>56</v>
      </c>
      <c r="B37" s="520">
        <f t="shared" si="3"/>
        <v>11800</v>
      </c>
      <c r="C37" s="529"/>
      <c r="D37" s="522">
        <f>H37*1.18</f>
        <v>11800</v>
      </c>
      <c r="E37" s="427">
        <f t="shared" si="0"/>
        <v>10000</v>
      </c>
      <c r="F37" s="445"/>
      <c r="G37" s="445"/>
      <c r="H37" s="229">
        <v>10000</v>
      </c>
    </row>
    <row r="39" ht="15.75" hidden="1"/>
    <row r="40" spans="1:5" ht="15.75" hidden="1">
      <c r="A40" t="s">
        <v>83</v>
      </c>
      <c r="C40">
        <f>3845.54/2</f>
        <v>1922.77</v>
      </c>
      <c r="D40">
        <f>15492.99/2</f>
        <v>7746.495</v>
      </c>
      <c r="E40">
        <f>SUM(C40:D40)</f>
        <v>9669.265</v>
      </c>
    </row>
    <row r="41" spans="2:5" ht="15.75" hidden="1">
      <c r="B41" s="537">
        <v>0.025</v>
      </c>
      <c r="C41">
        <f>C40*2.5/100</f>
        <v>48.069250000000004</v>
      </c>
      <c r="D41">
        <f>D40*2.5/100</f>
        <v>193.662375</v>
      </c>
      <c r="E41">
        <f aca="true" t="shared" si="4" ref="E41:E46">SUM(C41:D41)</f>
        <v>241.731625</v>
      </c>
    </row>
    <row r="42" spans="2:5" ht="15.75" hidden="1">
      <c r="B42" s="537" t="s">
        <v>85</v>
      </c>
      <c r="C42">
        <f>C40+C41</f>
        <v>1970.83925</v>
      </c>
      <c r="D42">
        <f>D40+D41</f>
        <v>7940.157375</v>
      </c>
      <c r="E42">
        <f t="shared" si="4"/>
        <v>9910.996625</v>
      </c>
    </row>
    <row r="43" spans="2:5" ht="15.75" hidden="1">
      <c r="B43" s="537">
        <v>0.029</v>
      </c>
      <c r="C43">
        <f>C42*2.9/100</f>
        <v>57.15433825</v>
      </c>
      <c r="D43">
        <f>D42*2.9/100</f>
        <v>230.264563875</v>
      </c>
      <c r="E43">
        <f t="shared" si="4"/>
        <v>287.418902125</v>
      </c>
    </row>
    <row r="44" spans="2:5" ht="15.75" hidden="1">
      <c r="B44" t="s">
        <v>84</v>
      </c>
      <c r="C44">
        <f>C42+C43</f>
        <v>2027.99358825</v>
      </c>
      <c r="D44">
        <f>D42+D43</f>
        <v>8170.421938875</v>
      </c>
      <c r="E44">
        <f t="shared" si="4"/>
        <v>10198.415527125</v>
      </c>
    </row>
    <row r="45" spans="2:5" ht="15.75" hidden="1">
      <c r="B45" s="538">
        <v>0.03</v>
      </c>
      <c r="C45">
        <f>C44*3/100</f>
        <v>60.8398076475</v>
      </c>
      <c r="D45">
        <f>D44*3/100</f>
        <v>245.11265816625001</v>
      </c>
      <c r="E45">
        <f t="shared" si="4"/>
        <v>305.95246581375</v>
      </c>
    </row>
    <row r="46" spans="2:5" ht="15.75" hidden="1">
      <c r="B46" s="16" t="s">
        <v>86</v>
      </c>
      <c r="C46" s="16">
        <f>C44+C45</f>
        <v>2088.8333958975</v>
      </c>
      <c r="D46" s="16">
        <f>D44+D45</f>
        <v>8415.534597041249</v>
      </c>
      <c r="E46" s="16">
        <f t="shared" si="4"/>
        <v>10504.367992938749</v>
      </c>
    </row>
    <row r="47" ht="15.75">
      <c r="A47" s="552"/>
    </row>
  </sheetData>
  <sheetProtection/>
  <protectedRanges>
    <protectedRange sqref="A30" name="Диапазон1_91_6_5_3"/>
    <protectedRange sqref="A27" name="Диапазон1_91_2_2_2_3"/>
    <protectedRange sqref="A39:D40" name="Диапазон1_91_2_2_2_3_1"/>
  </protectedRanges>
  <mergeCells count="1">
    <mergeCell ref="A1:H2"/>
  </mergeCells>
  <printOptions/>
  <pageMargins left="0.5905511811023623" right="0" top="0.1968503937007874" bottom="0.1968503937007874" header="0" footer="0"/>
  <pageSetup fitToHeight="2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0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514</v>
      </c>
    </row>
    <row r="3" ht="15.75">
      <c r="C3" s="4" t="s">
        <v>292</v>
      </c>
    </row>
    <row r="4" ht="15.75">
      <c r="C4" s="4" t="s">
        <v>301</v>
      </c>
    </row>
    <row r="5" ht="15.75">
      <c r="C5" s="4"/>
    </row>
    <row r="6" spans="1:3" ht="33.75" customHeight="1">
      <c r="A6" s="975" t="s">
        <v>1034</v>
      </c>
      <c r="B6" s="975"/>
      <c r="C6" s="975"/>
    </row>
    <row r="7" ht="15.75">
      <c r="C7" s="4" t="s">
        <v>293</v>
      </c>
    </row>
    <row r="8" ht="15.75">
      <c r="C8" s="4" t="s">
        <v>995</v>
      </c>
    </row>
    <row r="9" ht="15.75">
      <c r="C9" s="4" t="s">
        <v>569</v>
      </c>
    </row>
    <row r="10" spans="2:3" ht="15.75">
      <c r="B10" s="1030" t="s">
        <v>997</v>
      </c>
      <c r="C10" s="1030"/>
    </row>
    <row r="11" ht="15.75">
      <c r="C11" s="4" t="s">
        <v>1025</v>
      </c>
    </row>
    <row r="12" ht="15.75">
      <c r="C12" s="4" t="s">
        <v>294</v>
      </c>
    </row>
    <row r="13" spans="1:3" ht="15.75">
      <c r="A13" s="18" t="s">
        <v>436</v>
      </c>
      <c r="C13" s="4"/>
    </row>
    <row r="14" ht="16.5" thickBot="1"/>
    <row r="15" spans="1:3" ht="16.5" thickBot="1">
      <c r="A15" s="108" t="s">
        <v>609</v>
      </c>
      <c r="B15" s="109" t="s">
        <v>196</v>
      </c>
      <c r="C15" s="110" t="s">
        <v>197</v>
      </c>
    </row>
    <row r="16" spans="1:3" ht="15.75">
      <c r="A16" s="104">
        <v>2</v>
      </c>
      <c r="B16" s="114" t="s">
        <v>200</v>
      </c>
      <c r="C16" s="115"/>
    </row>
    <row r="17" spans="1:3" ht="31.5">
      <c r="A17" s="104" t="s">
        <v>615</v>
      </c>
      <c r="B17" s="105" t="s">
        <v>450</v>
      </c>
      <c r="C17" s="30" t="s">
        <v>714</v>
      </c>
    </row>
    <row r="18" spans="1:3" ht="31.5">
      <c r="A18" s="104" t="s">
        <v>616</v>
      </c>
      <c r="B18" s="105" t="s">
        <v>451</v>
      </c>
      <c r="C18" s="30" t="s">
        <v>714</v>
      </c>
    </row>
    <row r="19" spans="1:3" ht="15.75">
      <c r="A19" s="104" t="s">
        <v>617</v>
      </c>
      <c r="B19" s="105" t="s">
        <v>216</v>
      </c>
      <c r="C19" s="30" t="s">
        <v>714</v>
      </c>
    </row>
    <row r="20" spans="1:3" ht="15.75">
      <c r="A20" s="104">
        <v>3</v>
      </c>
      <c r="B20" s="114" t="s">
        <v>452</v>
      </c>
      <c r="C20" s="115"/>
    </row>
    <row r="21" spans="1:3" ht="15.75">
      <c r="A21" s="104" t="s">
        <v>201</v>
      </c>
      <c r="B21" s="105" t="s">
        <v>453</v>
      </c>
      <c r="C21" s="30" t="s">
        <v>715</v>
      </c>
    </row>
    <row r="22" spans="1:3" ht="15.75">
      <c r="A22" s="104" t="s">
        <v>202</v>
      </c>
      <c r="B22" s="105" t="s">
        <v>454</v>
      </c>
      <c r="C22" s="30" t="s">
        <v>716</v>
      </c>
    </row>
    <row r="23" spans="1:3" ht="15.75">
      <c r="A23" s="104" t="s">
        <v>203</v>
      </c>
      <c r="B23" s="105" t="s">
        <v>455</v>
      </c>
      <c r="C23" s="30" t="s">
        <v>715</v>
      </c>
    </row>
    <row r="24" spans="1:3" ht="15.75">
      <c r="A24" s="104" t="s">
        <v>221</v>
      </c>
      <c r="B24" s="105" t="s">
        <v>222</v>
      </c>
      <c r="C24" s="30" t="s">
        <v>719</v>
      </c>
    </row>
    <row r="25" spans="1:3" ht="15.75">
      <c r="A25" s="104" t="s">
        <v>223</v>
      </c>
      <c r="B25" s="105" t="s">
        <v>456</v>
      </c>
      <c r="C25" s="30" t="s">
        <v>719</v>
      </c>
    </row>
    <row r="26" spans="1:3" ht="15.75">
      <c r="A26" s="104">
        <v>4</v>
      </c>
      <c r="B26" s="114" t="s">
        <v>205</v>
      </c>
      <c r="C26" s="115"/>
    </row>
    <row r="27" spans="1:3" ht="15.75">
      <c r="A27" s="104" t="s">
        <v>619</v>
      </c>
      <c r="B27" s="105" t="s">
        <v>225</v>
      </c>
      <c r="C27" s="30" t="s">
        <v>719</v>
      </c>
    </row>
    <row r="28" spans="1:3" ht="30.75" customHeight="1">
      <c r="A28" s="104" t="s">
        <v>620</v>
      </c>
      <c r="B28" s="105" t="s">
        <v>226</v>
      </c>
      <c r="C28" s="30" t="s">
        <v>719</v>
      </c>
    </row>
    <row r="29" spans="1:3" ht="16.5" thickBot="1">
      <c r="A29" s="345" t="s">
        <v>621</v>
      </c>
      <c r="B29" s="674" t="s">
        <v>227</v>
      </c>
      <c r="C29" s="675" t="s">
        <v>719</v>
      </c>
    </row>
    <row r="30" spans="1:3" ht="16.5" thickBot="1">
      <c r="A30" s="676" t="s">
        <v>91</v>
      </c>
      <c r="B30" s="677" t="s">
        <v>457</v>
      </c>
      <c r="C30" s="678" t="s">
        <v>719</v>
      </c>
    </row>
  </sheetData>
  <sheetProtection/>
  <mergeCells count="2">
    <mergeCell ref="A6:C6"/>
    <mergeCell ref="B10:C10"/>
  </mergeCells>
  <printOptions/>
  <pageMargins left="0.7874015748031497" right="0" top="0.5905511811023623" bottom="0" header="0" footer="0"/>
  <pageSetup fitToHeight="1" fitToWidth="1"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0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514</v>
      </c>
    </row>
    <row r="3" ht="15.75">
      <c r="C3" s="4" t="s">
        <v>292</v>
      </c>
    </row>
    <row r="4" ht="15.75">
      <c r="C4" s="4" t="s">
        <v>301</v>
      </c>
    </row>
    <row r="5" ht="15.75">
      <c r="C5" s="4"/>
    </row>
    <row r="6" spans="1:3" ht="35.25" customHeight="1">
      <c r="A6" s="975" t="s">
        <v>1034</v>
      </c>
      <c r="B6" s="975"/>
      <c r="C6" s="975"/>
    </row>
    <row r="7" ht="15.75">
      <c r="C7" s="4" t="s">
        <v>293</v>
      </c>
    </row>
    <row r="8" ht="15.75">
      <c r="C8" s="4" t="s">
        <v>995</v>
      </c>
    </row>
    <row r="9" ht="15.75">
      <c r="C9" s="4" t="s">
        <v>569</v>
      </c>
    </row>
    <row r="10" spans="2:3" ht="15.75">
      <c r="B10" s="1030" t="s">
        <v>1001</v>
      </c>
      <c r="C10" s="1030"/>
    </row>
    <row r="11" ht="15.75">
      <c r="C11" s="4" t="s">
        <v>1025</v>
      </c>
    </row>
    <row r="12" ht="15.75">
      <c r="C12" s="4" t="s">
        <v>294</v>
      </c>
    </row>
    <row r="13" spans="1:3" ht="30.75" customHeight="1">
      <c r="A13" s="1079" t="s">
        <v>434</v>
      </c>
      <c r="B13" s="1079"/>
      <c r="C13" s="1079"/>
    </row>
    <row r="14" ht="16.5" thickBot="1"/>
    <row r="15" spans="1:3" ht="16.5" thickBot="1">
      <c r="A15" s="108" t="s">
        <v>609</v>
      </c>
      <c r="B15" s="109" t="s">
        <v>196</v>
      </c>
      <c r="C15" s="110" t="s">
        <v>197</v>
      </c>
    </row>
    <row r="16" spans="1:3" ht="15.75">
      <c r="A16" s="104">
        <v>2</v>
      </c>
      <c r="B16" s="114" t="s">
        <v>200</v>
      </c>
      <c r="C16" s="115"/>
    </row>
    <row r="17" spans="1:3" ht="31.5">
      <c r="A17" s="104" t="s">
        <v>615</v>
      </c>
      <c r="B17" s="105" t="s">
        <v>450</v>
      </c>
      <c r="C17" s="30" t="s">
        <v>714</v>
      </c>
    </row>
    <row r="18" spans="1:3" ht="31.5">
      <c r="A18" s="104" t="s">
        <v>616</v>
      </c>
      <c r="B18" s="105" t="s">
        <v>451</v>
      </c>
      <c r="C18" s="30" t="s">
        <v>714</v>
      </c>
    </row>
    <row r="19" spans="1:3" ht="15.75">
      <c r="A19" s="104" t="s">
        <v>617</v>
      </c>
      <c r="B19" s="105" t="s">
        <v>216</v>
      </c>
      <c r="C19" s="30" t="s">
        <v>714</v>
      </c>
    </row>
    <row r="20" spans="1:3" ht="15.75">
      <c r="A20" s="104">
        <v>3</v>
      </c>
      <c r="B20" s="114" t="s">
        <v>452</v>
      </c>
      <c r="C20" s="115"/>
    </row>
    <row r="21" spans="1:3" ht="15.75">
      <c r="A21" s="104" t="s">
        <v>201</v>
      </c>
      <c r="B21" s="105" t="s">
        <v>453</v>
      </c>
      <c r="C21" s="30" t="s">
        <v>715</v>
      </c>
    </row>
    <row r="22" spans="1:3" ht="15.75">
      <c r="A22" s="104" t="s">
        <v>202</v>
      </c>
      <c r="B22" s="105" t="s">
        <v>454</v>
      </c>
      <c r="C22" s="30" t="s">
        <v>716</v>
      </c>
    </row>
    <row r="23" spans="1:3" ht="15.75">
      <c r="A23" s="104" t="s">
        <v>203</v>
      </c>
      <c r="B23" s="105" t="s">
        <v>455</v>
      </c>
      <c r="C23" s="30" t="s">
        <v>715</v>
      </c>
    </row>
    <row r="24" spans="1:3" ht="15.75">
      <c r="A24" s="104" t="s">
        <v>221</v>
      </c>
      <c r="B24" s="105" t="s">
        <v>222</v>
      </c>
      <c r="C24" s="30" t="s">
        <v>719</v>
      </c>
    </row>
    <row r="25" spans="1:3" ht="15.75">
      <c r="A25" s="104" t="s">
        <v>223</v>
      </c>
      <c r="B25" s="105" t="s">
        <v>456</v>
      </c>
      <c r="C25" s="30" t="s">
        <v>719</v>
      </c>
    </row>
    <row r="26" spans="1:3" ht="15.75">
      <c r="A26" s="104">
        <v>4</v>
      </c>
      <c r="B26" s="114" t="s">
        <v>205</v>
      </c>
      <c r="C26" s="115"/>
    </row>
    <row r="27" spans="1:3" ht="15.75">
      <c r="A27" s="104" t="s">
        <v>619</v>
      </c>
      <c r="B27" s="105" t="s">
        <v>225</v>
      </c>
      <c r="C27" s="30" t="s">
        <v>719</v>
      </c>
    </row>
    <row r="28" spans="1:3" ht="30.75" customHeight="1">
      <c r="A28" s="104" t="s">
        <v>620</v>
      </c>
      <c r="B28" s="105" t="s">
        <v>226</v>
      </c>
      <c r="C28" s="30" t="s">
        <v>719</v>
      </c>
    </row>
    <row r="29" spans="1:3" ht="16.5" thickBot="1">
      <c r="A29" s="345" t="s">
        <v>621</v>
      </c>
      <c r="B29" s="674" t="s">
        <v>227</v>
      </c>
      <c r="C29" s="675" t="s">
        <v>719</v>
      </c>
    </row>
    <row r="30" spans="1:3" ht="16.5" thickBot="1">
      <c r="A30" s="676" t="s">
        <v>91</v>
      </c>
      <c r="B30" s="677" t="s">
        <v>457</v>
      </c>
      <c r="C30" s="678" t="s">
        <v>719</v>
      </c>
    </row>
  </sheetData>
  <sheetProtection/>
  <mergeCells count="3">
    <mergeCell ref="A6:C6"/>
    <mergeCell ref="A13:C13"/>
    <mergeCell ref="B10:C10"/>
  </mergeCells>
  <printOptions/>
  <pageMargins left="0.7874015748031497" right="0" top="0.5905511811023623" bottom="0" header="0" footer="0"/>
  <pageSetup fitToHeight="1" fitToWidth="1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0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514</v>
      </c>
    </row>
    <row r="3" ht="15.75">
      <c r="C3" s="4" t="s">
        <v>292</v>
      </c>
    </row>
    <row r="4" ht="15.75">
      <c r="C4" s="4" t="s">
        <v>301</v>
      </c>
    </row>
    <row r="5" ht="15.75">
      <c r="C5" s="4"/>
    </row>
    <row r="6" spans="1:3" ht="35.25" customHeight="1">
      <c r="A6" s="975" t="s">
        <v>1034</v>
      </c>
      <c r="B6" s="975"/>
      <c r="C6" s="975"/>
    </row>
    <row r="7" ht="15.75">
      <c r="C7" s="4" t="s">
        <v>293</v>
      </c>
    </row>
    <row r="8" ht="15.75">
      <c r="C8" s="4" t="s">
        <v>995</v>
      </c>
    </row>
    <row r="9" ht="15.75">
      <c r="C9" s="4" t="s">
        <v>569</v>
      </c>
    </row>
    <row r="10" spans="2:3" ht="15.75">
      <c r="B10" s="1030" t="s">
        <v>997</v>
      </c>
      <c r="C10" s="1030"/>
    </row>
    <row r="11" ht="15.75">
      <c r="C11" s="4" t="s">
        <v>1025</v>
      </c>
    </row>
    <row r="12" ht="15.75">
      <c r="C12" s="4"/>
    </row>
    <row r="13" spans="1:3" ht="30.75" customHeight="1">
      <c r="A13" s="1080" t="s">
        <v>435</v>
      </c>
      <c r="B13" s="1080"/>
      <c r="C13" s="1080"/>
    </row>
    <row r="14" ht="16.5" thickBot="1"/>
    <row r="15" spans="1:3" ht="16.5" thickBot="1">
      <c r="A15" s="108" t="s">
        <v>609</v>
      </c>
      <c r="B15" s="109" t="s">
        <v>196</v>
      </c>
      <c r="C15" s="110" t="s">
        <v>197</v>
      </c>
    </row>
    <row r="16" spans="1:3" ht="15.75">
      <c r="A16" s="104">
        <v>2</v>
      </c>
      <c r="B16" s="114" t="s">
        <v>200</v>
      </c>
      <c r="C16" s="115"/>
    </row>
    <row r="17" spans="1:3" ht="31.5">
      <c r="A17" s="104" t="s">
        <v>615</v>
      </c>
      <c r="B17" s="105" t="s">
        <v>450</v>
      </c>
      <c r="C17" s="30" t="s">
        <v>714</v>
      </c>
    </row>
    <row r="18" spans="1:3" ht="31.5">
      <c r="A18" s="104" t="s">
        <v>616</v>
      </c>
      <c r="B18" s="105" t="s">
        <v>451</v>
      </c>
      <c r="C18" s="30" t="s">
        <v>714</v>
      </c>
    </row>
    <row r="19" spans="1:3" ht="15.75">
      <c r="A19" s="104" t="s">
        <v>617</v>
      </c>
      <c r="B19" s="105" t="s">
        <v>216</v>
      </c>
      <c r="C19" s="30" t="s">
        <v>714</v>
      </c>
    </row>
    <row r="20" spans="1:3" ht="15.75">
      <c r="A20" s="104">
        <v>3</v>
      </c>
      <c r="B20" s="114" t="s">
        <v>452</v>
      </c>
      <c r="C20" s="115"/>
    </row>
    <row r="21" spans="1:3" ht="15.75">
      <c r="A21" s="104" t="s">
        <v>201</v>
      </c>
      <c r="B21" s="105" t="s">
        <v>453</v>
      </c>
      <c r="C21" s="30" t="s">
        <v>715</v>
      </c>
    </row>
    <row r="22" spans="1:3" ht="15.75">
      <c r="A22" s="104" t="s">
        <v>202</v>
      </c>
      <c r="B22" s="105" t="s">
        <v>454</v>
      </c>
      <c r="C22" s="30" t="s">
        <v>716</v>
      </c>
    </row>
    <row r="23" spans="1:3" ht="15.75">
      <c r="A23" s="104" t="s">
        <v>203</v>
      </c>
      <c r="B23" s="105" t="s">
        <v>455</v>
      </c>
      <c r="C23" s="30" t="s">
        <v>715</v>
      </c>
    </row>
    <row r="24" spans="1:3" ht="15.75">
      <c r="A24" s="104" t="s">
        <v>221</v>
      </c>
      <c r="B24" s="105" t="s">
        <v>222</v>
      </c>
      <c r="C24" s="30" t="s">
        <v>719</v>
      </c>
    </row>
    <row r="25" spans="1:3" ht="15.75">
      <c r="A25" s="104" t="s">
        <v>223</v>
      </c>
      <c r="B25" s="105" t="s">
        <v>456</v>
      </c>
      <c r="C25" s="30" t="s">
        <v>719</v>
      </c>
    </row>
    <row r="26" spans="1:3" ht="15.75">
      <c r="A26" s="104">
        <v>4</v>
      </c>
      <c r="B26" s="114" t="s">
        <v>205</v>
      </c>
      <c r="C26" s="115"/>
    </row>
    <row r="27" spans="1:3" ht="15.75">
      <c r="A27" s="104" t="s">
        <v>619</v>
      </c>
      <c r="B27" s="105" t="s">
        <v>225</v>
      </c>
      <c r="C27" s="30" t="s">
        <v>719</v>
      </c>
    </row>
    <row r="28" spans="1:3" ht="30.75" customHeight="1">
      <c r="A28" s="104" t="s">
        <v>620</v>
      </c>
      <c r="B28" s="105" t="s">
        <v>226</v>
      </c>
      <c r="C28" s="30" t="s">
        <v>719</v>
      </c>
    </row>
    <row r="29" spans="1:3" ht="16.5" thickBot="1">
      <c r="A29" s="106" t="s">
        <v>621</v>
      </c>
      <c r="B29" s="107" t="s">
        <v>227</v>
      </c>
      <c r="C29" s="675" t="s">
        <v>719</v>
      </c>
    </row>
    <row r="30" spans="1:3" ht="16.5" thickBot="1">
      <c r="A30" s="106" t="s">
        <v>91</v>
      </c>
      <c r="B30" s="107" t="s">
        <v>457</v>
      </c>
      <c r="C30" s="678" t="s">
        <v>719</v>
      </c>
    </row>
  </sheetData>
  <sheetProtection/>
  <mergeCells count="3">
    <mergeCell ref="A6:C6"/>
    <mergeCell ref="A13:C13"/>
    <mergeCell ref="B10:C10"/>
  </mergeCells>
  <printOptions/>
  <pageMargins left="0.7874015748031497" right="0" top="0.5905511811023623" bottom="0" header="0" footer="0"/>
  <pageSetup fitToHeight="1" fitToWidth="1"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28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514</v>
      </c>
    </row>
    <row r="3" ht="15.75">
      <c r="C3" s="4" t="s">
        <v>292</v>
      </c>
    </row>
    <row r="4" ht="15.75">
      <c r="C4" s="4" t="s">
        <v>301</v>
      </c>
    </row>
    <row r="5" ht="15.75">
      <c r="C5" s="4"/>
    </row>
    <row r="6" spans="1:3" ht="36.75" customHeight="1">
      <c r="A6" s="975" t="s">
        <v>1034</v>
      </c>
      <c r="B6" s="975"/>
      <c r="C6" s="975"/>
    </row>
    <row r="7" ht="15.75">
      <c r="C7" s="4" t="s">
        <v>293</v>
      </c>
    </row>
    <row r="8" ht="15.75">
      <c r="C8" s="4" t="s">
        <v>995</v>
      </c>
    </row>
    <row r="9" ht="15.75">
      <c r="C9" s="4" t="s">
        <v>569</v>
      </c>
    </row>
    <row r="10" spans="2:3" ht="15.75">
      <c r="B10" s="1030" t="s">
        <v>997</v>
      </c>
      <c r="C10" s="1030"/>
    </row>
    <row r="11" ht="15.75">
      <c r="C11" s="4" t="s">
        <v>1025</v>
      </c>
    </row>
    <row r="12" ht="15.75">
      <c r="C12" s="4"/>
    </row>
    <row r="13" ht="15.75">
      <c r="A13" s="18" t="s">
        <v>458</v>
      </c>
    </row>
    <row r="14" ht="16.5" thickBot="1"/>
    <row r="15" spans="1:3" ht="16.5" thickBot="1">
      <c r="A15" s="108" t="s">
        <v>609</v>
      </c>
      <c r="B15" s="109" t="s">
        <v>196</v>
      </c>
      <c r="C15" s="110" t="s">
        <v>197</v>
      </c>
    </row>
    <row r="16" spans="1:3" ht="15.75">
      <c r="A16" s="104">
        <v>2</v>
      </c>
      <c r="B16" s="114" t="s">
        <v>200</v>
      </c>
      <c r="C16" s="115"/>
    </row>
    <row r="17" spans="1:3" ht="31.5">
      <c r="A17" s="104" t="s">
        <v>615</v>
      </c>
      <c r="B17" s="105" t="s">
        <v>450</v>
      </c>
      <c r="C17" s="30" t="s">
        <v>714</v>
      </c>
    </row>
    <row r="18" spans="1:3" ht="15.75">
      <c r="A18" s="104" t="s">
        <v>616</v>
      </c>
      <c r="B18" s="105" t="s">
        <v>459</v>
      </c>
      <c r="C18" s="30" t="s">
        <v>714</v>
      </c>
    </row>
    <row r="19" spans="1:3" ht="31.5">
      <c r="A19" s="104">
        <v>3</v>
      </c>
      <c r="B19" s="114" t="s">
        <v>217</v>
      </c>
      <c r="C19" s="115"/>
    </row>
    <row r="20" spans="1:3" ht="15.75">
      <c r="A20" s="104" t="s">
        <v>202</v>
      </c>
      <c r="B20" s="105" t="s">
        <v>219</v>
      </c>
      <c r="C20" s="30" t="s">
        <v>716</v>
      </c>
    </row>
    <row r="21" spans="1:3" ht="15.75">
      <c r="A21" s="104" t="s">
        <v>203</v>
      </c>
      <c r="B21" s="105" t="s">
        <v>220</v>
      </c>
      <c r="C21" s="30" t="s">
        <v>715</v>
      </c>
    </row>
    <row r="22" spans="1:3" ht="15.75">
      <c r="A22" s="104" t="s">
        <v>221</v>
      </c>
      <c r="B22" s="105" t="s">
        <v>222</v>
      </c>
      <c r="C22" s="30" t="s">
        <v>719</v>
      </c>
    </row>
    <row r="23" spans="1:3" ht="15.75">
      <c r="A23" s="104" t="s">
        <v>223</v>
      </c>
      <c r="B23" s="105" t="s">
        <v>456</v>
      </c>
      <c r="C23" s="30" t="s">
        <v>719</v>
      </c>
    </row>
    <row r="24" spans="1:3" ht="15.75">
      <c r="A24" s="104">
        <v>4</v>
      </c>
      <c r="B24" s="114" t="s">
        <v>205</v>
      </c>
      <c r="C24" s="115"/>
    </row>
    <row r="25" spans="1:3" ht="15.75">
      <c r="A25" s="104" t="s">
        <v>619</v>
      </c>
      <c r="B25" s="105" t="s">
        <v>225</v>
      </c>
      <c r="C25" s="30" t="s">
        <v>719</v>
      </c>
    </row>
    <row r="26" spans="1:3" ht="31.5">
      <c r="A26" s="104" t="s">
        <v>620</v>
      </c>
      <c r="B26" s="105" t="s">
        <v>226</v>
      </c>
      <c r="C26" s="30" t="s">
        <v>719</v>
      </c>
    </row>
    <row r="27" spans="1:3" ht="16.5" thickBot="1">
      <c r="A27" s="106" t="s">
        <v>621</v>
      </c>
      <c r="B27" s="107" t="s">
        <v>227</v>
      </c>
      <c r="C27" s="675" t="s">
        <v>719</v>
      </c>
    </row>
    <row r="28" spans="1:3" ht="30.75" customHeight="1" thickBot="1">
      <c r="A28" s="106" t="s">
        <v>91</v>
      </c>
      <c r="B28" s="107" t="s">
        <v>231</v>
      </c>
      <c r="C28" s="678" t="s">
        <v>719</v>
      </c>
    </row>
  </sheetData>
  <sheetProtection/>
  <mergeCells count="2">
    <mergeCell ref="A6:C6"/>
    <mergeCell ref="B10:C10"/>
  </mergeCells>
  <printOptions/>
  <pageMargins left="0.7874015748031497" right="0" top="0.5905511811023623" bottom="0" header="0" footer="0"/>
  <pageSetup fitToHeight="1" fitToWidth="1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0"/>
  <sheetViews>
    <sheetView zoomScalePageLayoutView="0" workbookViewId="0" topLeftCell="A1">
      <selection activeCell="E32" sqref="E32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514</v>
      </c>
    </row>
    <row r="3" ht="15.75">
      <c r="C3" s="4" t="s">
        <v>292</v>
      </c>
    </row>
    <row r="4" ht="15.75">
      <c r="C4" s="4" t="s">
        <v>301</v>
      </c>
    </row>
    <row r="5" ht="15.75">
      <c r="C5" s="4"/>
    </row>
    <row r="6" spans="1:3" ht="33.75" customHeight="1">
      <c r="A6" s="975" t="s">
        <v>1034</v>
      </c>
      <c r="B6" s="975"/>
      <c r="C6" s="975"/>
    </row>
    <row r="7" ht="15.75">
      <c r="C7" s="4" t="s">
        <v>293</v>
      </c>
    </row>
    <row r="8" ht="15.75">
      <c r="C8" s="4" t="s">
        <v>995</v>
      </c>
    </row>
    <row r="9" ht="15.75">
      <c r="C9" s="4" t="s">
        <v>569</v>
      </c>
    </row>
    <row r="10" spans="2:3" ht="15.75">
      <c r="B10" s="1030" t="s">
        <v>997</v>
      </c>
      <c r="C10" s="1030"/>
    </row>
    <row r="11" ht="15.75">
      <c r="C11" s="4" t="s">
        <v>1025</v>
      </c>
    </row>
    <row r="12" ht="15.75">
      <c r="C12" s="4" t="s">
        <v>294</v>
      </c>
    </row>
    <row r="13" spans="1:3" ht="15.75">
      <c r="A13" s="18" t="s">
        <v>449</v>
      </c>
      <c r="C13" s="4"/>
    </row>
    <row r="14" ht="16.5" thickBot="1"/>
    <row r="15" spans="1:3" ht="16.5" thickBot="1">
      <c r="A15" s="108" t="s">
        <v>609</v>
      </c>
      <c r="B15" s="109" t="s">
        <v>196</v>
      </c>
      <c r="C15" s="110" t="s">
        <v>197</v>
      </c>
    </row>
    <row r="16" spans="1:3" ht="15.75">
      <c r="A16" s="104">
        <v>2</v>
      </c>
      <c r="B16" s="114" t="s">
        <v>200</v>
      </c>
      <c r="C16" s="115"/>
    </row>
    <row r="17" spans="1:3" ht="31.5">
      <c r="A17" s="104" t="s">
        <v>615</v>
      </c>
      <c r="B17" s="105" t="s">
        <v>450</v>
      </c>
      <c r="C17" s="30" t="s">
        <v>714</v>
      </c>
    </row>
    <row r="18" spans="1:3" ht="31.5">
      <c r="A18" s="104" t="s">
        <v>616</v>
      </c>
      <c r="B18" s="105" t="s">
        <v>451</v>
      </c>
      <c r="C18" s="30" t="s">
        <v>714</v>
      </c>
    </row>
    <row r="19" spans="1:3" ht="15.75">
      <c r="A19" s="104" t="s">
        <v>617</v>
      </c>
      <c r="B19" s="105" t="s">
        <v>216</v>
      </c>
      <c r="C19" s="30" t="s">
        <v>714</v>
      </c>
    </row>
    <row r="20" spans="1:3" ht="15.75">
      <c r="A20" s="104">
        <v>3</v>
      </c>
      <c r="B20" s="114" t="s">
        <v>452</v>
      </c>
      <c r="C20" s="115"/>
    </row>
    <row r="21" spans="1:3" ht="15.75">
      <c r="A21" s="104" t="s">
        <v>201</v>
      </c>
      <c r="B21" s="105" t="s">
        <v>453</v>
      </c>
      <c r="C21" s="30" t="s">
        <v>715</v>
      </c>
    </row>
    <row r="22" spans="1:3" ht="15.75">
      <c r="A22" s="104" t="s">
        <v>202</v>
      </c>
      <c r="B22" s="105" t="s">
        <v>454</v>
      </c>
      <c r="C22" s="30" t="s">
        <v>716</v>
      </c>
    </row>
    <row r="23" spans="1:3" ht="15.75">
      <c r="A23" s="104" t="s">
        <v>203</v>
      </c>
      <c r="B23" s="105" t="s">
        <v>455</v>
      </c>
      <c r="C23" s="30" t="s">
        <v>715</v>
      </c>
    </row>
    <row r="24" spans="1:3" ht="15.75">
      <c r="A24" s="104" t="s">
        <v>221</v>
      </c>
      <c r="B24" s="105" t="s">
        <v>222</v>
      </c>
      <c r="C24" s="30" t="s">
        <v>719</v>
      </c>
    </row>
    <row r="25" spans="1:3" ht="15.75">
      <c r="A25" s="104" t="s">
        <v>223</v>
      </c>
      <c r="B25" s="105" t="s">
        <v>456</v>
      </c>
      <c r="C25" s="30" t="s">
        <v>719</v>
      </c>
    </row>
    <row r="26" spans="1:3" ht="15.75">
      <c r="A26" s="104">
        <v>4</v>
      </c>
      <c r="B26" s="114" t="s">
        <v>205</v>
      </c>
      <c r="C26" s="115"/>
    </row>
    <row r="27" spans="1:3" ht="15.75">
      <c r="A27" s="104" t="s">
        <v>619</v>
      </c>
      <c r="B27" s="105" t="s">
        <v>225</v>
      </c>
      <c r="C27" s="30" t="s">
        <v>719</v>
      </c>
    </row>
    <row r="28" spans="1:3" ht="30.75" customHeight="1">
      <c r="A28" s="104" t="s">
        <v>620</v>
      </c>
      <c r="B28" s="105" t="s">
        <v>226</v>
      </c>
      <c r="C28" s="30" t="s">
        <v>719</v>
      </c>
    </row>
    <row r="29" spans="1:3" ht="16.5" thickBot="1">
      <c r="A29" s="106" t="s">
        <v>621</v>
      </c>
      <c r="B29" s="107" t="s">
        <v>227</v>
      </c>
      <c r="C29" s="675" t="s">
        <v>719</v>
      </c>
    </row>
    <row r="30" spans="1:3" ht="16.5" thickBot="1">
      <c r="A30" s="106" t="s">
        <v>91</v>
      </c>
      <c r="B30" s="107" t="s">
        <v>457</v>
      </c>
      <c r="C30" s="678" t="s">
        <v>719</v>
      </c>
    </row>
  </sheetData>
  <sheetProtection/>
  <mergeCells count="2">
    <mergeCell ref="A6:C6"/>
    <mergeCell ref="B10:C10"/>
  </mergeCells>
  <printOptions/>
  <pageMargins left="0.9055118110236221" right="0" top="0.5511811023622047" bottom="0" header="0" footer="0"/>
  <pageSetup fitToHeight="2" fitToWidth="1"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52"/>
  <sheetViews>
    <sheetView zoomScalePageLayoutView="0" workbookViewId="0" topLeftCell="A4">
      <selection activeCell="E19" sqref="E19"/>
    </sheetView>
  </sheetViews>
  <sheetFormatPr defaultColWidth="9.00390625" defaultRowHeight="15.75"/>
  <cols>
    <col min="1" max="1" width="66.50390625" style="176" customWidth="1"/>
    <col min="2" max="2" width="25.50390625" style="176" hidden="1" customWidth="1"/>
    <col min="3" max="3" width="21.625" style="176" customWidth="1"/>
    <col min="4" max="16384" width="9.00390625" style="176" customWidth="1"/>
  </cols>
  <sheetData>
    <row r="1" ht="15.75">
      <c r="C1" s="177" t="s">
        <v>307</v>
      </c>
    </row>
    <row r="2" ht="15.75">
      <c r="C2" s="177" t="s">
        <v>292</v>
      </c>
    </row>
    <row r="3" ht="15.75">
      <c r="C3" s="177" t="s">
        <v>301</v>
      </c>
    </row>
    <row r="4" ht="15.75">
      <c r="C4" s="177"/>
    </row>
    <row r="5" spans="1:256" ht="34.5" customHeight="1">
      <c r="A5" s="1086" t="s">
        <v>544</v>
      </c>
      <c r="B5" s="1087"/>
      <c r="C5" s="108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</row>
    <row r="6" spans="1:256" ht="17.25">
      <c r="A6" s="1"/>
      <c r="B6" s="1"/>
      <c r="C6" s="1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3" ht="15.75">
      <c r="A7" s="1088" t="s">
        <v>1032</v>
      </c>
      <c r="B7" s="1088"/>
      <c r="C7" s="1088"/>
    </row>
    <row r="8" spans="1:3" ht="15.75">
      <c r="A8" s="198"/>
      <c r="B8" s="198"/>
      <c r="C8" s="198"/>
    </row>
    <row r="9" spans="1:3" ht="15.75">
      <c r="A9" s="1"/>
      <c r="B9" s="4" t="s">
        <v>293</v>
      </c>
      <c r="C9" s="258" t="s">
        <v>293</v>
      </c>
    </row>
    <row r="10" spans="1:3" ht="15.75">
      <c r="A10" s="1"/>
      <c r="B10" s="4" t="s">
        <v>814</v>
      </c>
      <c r="C10" s="258" t="s">
        <v>995</v>
      </c>
    </row>
    <row r="11" spans="1:3" ht="15.75">
      <c r="A11" s="1"/>
      <c r="B11" s="4" t="s">
        <v>569</v>
      </c>
      <c r="C11" s="258" t="s">
        <v>569</v>
      </c>
    </row>
    <row r="12" spans="1:3" ht="15.75">
      <c r="A12" s="1030" t="s">
        <v>998</v>
      </c>
      <c r="B12" s="1030"/>
      <c r="C12" s="1030"/>
    </row>
    <row r="13" spans="1:3" ht="15.75">
      <c r="A13" s="1"/>
      <c r="B13" s="4" t="s">
        <v>813</v>
      </c>
      <c r="C13" s="4" t="s">
        <v>1025</v>
      </c>
    </row>
    <row r="14" spans="1:3" ht="15.75">
      <c r="A14" s="1"/>
      <c r="B14" s="4" t="s">
        <v>294</v>
      </c>
      <c r="C14" s="4" t="s">
        <v>294</v>
      </c>
    </row>
    <row r="15" ht="15.75">
      <c r="B15" s="179"/>
    </row>
    <row r="16" spans="1:3" ht="15.75">
      <c r="A16" s="180" t="s">
        <v>343</v>
      </c>
      <c r="B16" s="181"/>
      <c r="C16" s="182"/>
    </row>
    <row r="17" spans="1:3" ht="47.25">
      <c r="A17" s="183" t="s">
        <v>344</v>
      </c>
      <c r="B17" s="184" t="s">
        <v>345</v>
      </c>
      <c r="C17" s="185" t="s">
        <v>1033</v>
      </c>
    </row>
    <row r="18" spans="1:3" ht="15.75">
      <c r="A18" s="192"/>
      <c r="B18" s="193"/>
      <c r="C18" s="194"/>
    </row>
    <row r="19" spans="1:3" ht="15.75">
      <c r="A19" s="186" t="s">
        <v>346</v>
      </c>
      <c r="B19" s="186"/>
      <c r="C19" s="683">
        <v>2055071</v>
      </c>
    </row>
    <row r="20" spans="1:3" ht="15.75">
      <c r="A20" s="186" t="s">
        <v>347</v>
      </c>
      <c r="B20" s="186"/>
      <c r="C20" s="819">
        <v>26984</v>
      </c>
    </row>
    <row r="21" spans="1:3" ht="15.75">
      <c r="A21" s="186" t="s">
        <v>348</v>
      </c>
      <c r="B21" s="186"/>
      <c r="C21" s="683">
        <v>0</v>
      </c>
    </row>
    <row r="22" spans="1:3" ht="15.75">
      <c r="A22" s="187" t="s">
        <v>349</v>
      </c>
      <c r="B22" s="186"/>
      <c r="C22" s="683">
        <v>0</v>
      </c>
    </row>
    <row r="23" spans="1:3" ht="15.75">
      <c r="A23" s="187" t="s">
        <v>447</v>
      </c>
      <c r="B23" s="186"/>
      <c r="C23" s="683">
        <v>0</v>
      </c>
    </row>
    <row r="24" spans="1:3" ht="15.75">
      <c r="A24" s="186" t="s">
        <v>118</v>
      </c>
      <c r="B24" s="186"/>
      <c r="C24" s="684">
        <f>83934+C20+C40</f>
        <v>169678</v>
      </c>
    </row>
    <row r="25" spans="1:3" ht="15.75">
      <c r="A25" s="186" t="s">
        <v>350</v>
      </c>
      <c r="B25" s="186"/>
      <c r="C25" s="683">
        <v>1205052</v>
      </c>
    </row>
    <row r="26" spans="1:3" ht="15.75">
      <c r="A26" s="186" t="s">
        <v>351</v>
      </c>
      <c r="B26" s="186"/>
      <c r="C26" s="683">
        <v>1069560</v>
      </c>
    </row>
    <row r="27" spans="1:3" ht="15.75">
      <c r="A27" s="186" t="s">
        <v>352</v>
      </c>
      <c r="B27" s="186"/>
      <c r="C27" s="683">
        <v>165611</v>
      </c>
    </row>
    <row r="28" spans="1:3" ht="15.75">
      <c r="A28" s="186" t="s">
        <v>353</v>
      </c>
      <c r="B28" s="186"/>
      <c r="C28" s="683">
        <v>79876</v>
      </c>
    </row>
    <row r="29" spans="1:3" ht="15.75">
      <c r="A29" s="186" t="s">
        <v>354</v>
      </c>
      <c r="B29" s="186"/>
      <c r="C29" s="683">
        <v>5361</v>
      </c>
    </row>
    <row r="30" spans="1:3" ht="15.75">
      <c r="A30" s="187" t="s">
        <v>355</v>
      </c>
      <c r="B30" s="186"/>
      <c r="C30" s="683">
        <v>0</v>
      </c>
    </row>
    <row r="31" spans="1:3" ht="15.75">
      <c r="A31" s="187" t="s">
        <v>356</v>
      </c>
      <c r="B31" s="186"/>
      <c r="C31" s="683">
        <v>0</v>
      </c>
    </row>
    <row r="32" spans="1:3" ht="15.75">
      <c r="A32" s="187" t="s">
        <v>357</v>
      </c>
      <c r="B32" s="186"/>
      <c r="C32" s="683">
        <v>0</v>
      </c>
    </row>
    <row r="33" spans="1:3" ht="15.75">
      <c r="A33" s="187" t="s">
        <v>358</v>
      </c>
      <c r="B33" s="186"/>
      <c r="C33" s="683">
        <v>5361</v>
      </c>
    </row>
    <row r="34" spans="1:3" ht="15.75">
      <c r="A34" s="186" t="s">
        <v>359</v>
      </c>
      <c r="B34" s="186"/>
      <c r="C34" s="683">
        <f>C35+C36</f>
        <v>2356935</v>
      </c>
    </row>
    <row r="35" spans="1:3" ht="15.75">
      <c r="A35" s="187" t="s">
        <v>360</v>
      </c>
      <c r="B35" s="186"/>
      <c r="C35" s="683">
        <v>1073851</v>
      </c>
    </row>
    <row r="36" spans="1:3" ht="15.75">
      <c r="A36" s="187" t="s">
        <v>361</v>
      </c>
      <c r="B36" s="186"/>
      <c r="C36" s="683">
        <v>1283084</v>
      </c>
    </row>
    <row r="37" spans="1:3" ht="15.75">
      <c r="A37" s="188" t="s">
        <v>448</v>
      </c>
      <c r="B37" s="186"/>
      <c r="C37" s="684">
        <v>23120</v>
      </c>
    </row>
    <row r="38" spans="1:3" ht="15.75">
      <c r="A38" s="188" t="s">
        <v>362</v>
      </c>
      <c r="B38" s="186"/>
      <c r="C38" s="684">
        <v>31763</v>
      </c>
    </row>
    <row r="39" spans="1:3" ht="15.75">
      <c r="A39" s="188" t="s">
        <v>363</v>
      </c>
      <c r="B39" s="186"/>
      <c r="C39" s="684">
        <v>117068</v>
      </c>
    </row>
    <row r="40" spans="1:3" ht="15.75">
      <c r="A40" s="186" t="s">
        <v>364</v>
      </c>
      <c r="B40" s="186"/>
      <c r="C40" s="683">
        <v>58760</v>
      </c>
    </row>
    <row r="41" spans="1:3" ht="15.75">
      <c r="A41" s="1084" t="s">
        <v>365</v>
      </c>
      <c r="B41" s="1084"/>
      <c r="C41" s="1084"/>
    </row>
    <row r="42" spans="1:3" ht="15.75">
      <c r="A42" s="186" t="s">
        <v>366</v>
      </c>
      <c r="B42" s="1082"/>
      <c r="C42" s="1083"/>
    </row>
    <row r="43" spans="1:3" ht="15.75">
      <c r="A43" s="186" t="s">
        <v>367</v>
      </c>
      <c r="B43" s="1082"/>
      <c r="C43" s="1083"/>
    </row>
    <row r="44" spans="1:3" ht="15.75">
      <c r="A44" s="186" t="s">
        <v>368</v>
      </c>
      <c r="B44" s="1082"/>
      <c r="C44" s="1083"/>
    </row>
    <row r="45" spans="1:3" ht="15.75">
      <c r="A45" s="186" t="s">
        <v>369</v>
      </c>
      <c r="B45" s="1082"/>
      <c r="C45" s="1083"/>
    </row>
    <row r="46" spans="1:3" ht="15.75">
      <c r="A46" s="1084" t="s">
        <v>372</v>
      </c>
      <c r="B46" s="1084"/>
      <c r="C46" s="1084"/>
    </row>
    <row r="47" spans="1:3" ht="15.75">
      <c r="A47" s="189" t="s">
        <v>373</v>
      </c>
      <c r="B47" s="1085"/>
      <c r="C47" s="1085"/>
    </row>
    <row r="48" spans="1:3" ht="15.75">
      <c r="A48" s="189" t="s">
        <v>712</v>
      </c>
      <c r="B48" s="1085"/>
      <c r="C48" s="1085"/>
    </row>
    <row r="49" spans="1:3" ht="15.75">
      <c r="A49" s="189" t="s">
        <v>713</v>
      </c>
      <c r="B49" s="1085"/>
      <c r="C49" s="1085"/>
    </row>
    <row r="50" spans="1:3" ht="15.75">
      <c r="A50" s="190" t="s">
        <v>374</v>
      </c>
      <c r="B50" s="1085"/>
      <c r="C50" s="1085"/>
    </row>
    <row r="51" spans="1:2" ht="15.75" hidden="1">
      <c r="A51" s="191"/>
      <c r="B51" s="191"/>
    </row>
    <row r="52" spans="1:3" ht="33" customHeight="1">
      <c r="A52" s="1081" t="s">
        <v>375</v>
      </c>
      <c r="B52" s="1081"/>
      <c r="C52" s="1081"/>
    </row>
  </sheetData>
  <sheetProtection/>
  <mergeCells count="14">
    <mergeCell ref="B43:C43"/>
    <mergeCell ref="B44:C44"/>
    <mergeCell ref="A5:C5"/>
    <mergeCell ref="A7:C7"/>
    <mergeCell ref="A41:C41"/>
    <mergeCell ref="B42:C42"/>
    <mergeCell ref="A12:C12"/>
    <mergeCell ref="A52:C52"/>
    <mergeCell ref="B45:C45"/>
    <mergeCell ref="A46:C46"/>
    <mergeCell ref="B47:C47"/>
    <mergeCell ref="B48:C48"/>
    <mergeCell ref="B49:C49"/>
    <mergeCell ref="B50:C50"/>
  </mergeCells>
  <printOptions/>
  <pageMargins left="0.7" right="0.23" top="0.75" bottom="0.37" header="0.3" footer="0.3"/>
  <pageSetup fitToHeight="1" fitToWidth="1"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91"/>
  <sheetViews>
    <sheetView zoomScale="80" zoomScaleNormal="80" zoomScalePageLayoutView="0" workbookViewId="0" topLeftCell="A1">
      <selection activeCell="G15" sqref="G15:G16"/>
    </sheetView>
  </sheetViews>
  <sheetFormatPr defaultColWidth="9.00390625" defaultRowHeight="15.75"/>
  <cols>
    <col min="1" max="1" width="9.00390625" style="128" customWidth="1"/>
    <col min="2" max="2" width="37.25390625" style="129" bestFit="1" customWidth="1"/>
    <col min="3" max="4" width="10.875" style="129" bestFit="1" customWidth="1"/>
    <col min="5" max="5" width="7.50390625" style="129" customWidth="1"/>
    <col min="6" max="6" width="13.875" style="129" bestFit="1" customWidth="1"/>
    <col min="7" max="7" width="13.25390625" style="129" bestFit="1" customWidth="1"/>
    <col min="8" max="8" width="16.00390625" style="129" bestFit="1" customWidth="1"/>
    <col min="9" max="9" width="11.625" style="129" bestFit="1" customWidth="1"/>
    <col min="10" max="10" width="16.875" style="129" customWidth="1"/>
    <col min="11" max="11" width="13.25390625" style="129" customWidth="1"/>
    <col min="12" max="16384" width="9.00390625" style="128" customWidth="1"/>
  </cols>
  <sheetData>
    <row r="2" ht="15.75">
      <c r="K2" s="4" t="s">
        <v>505</v>
      </c>
    </row>
    <row r="3" ht="15.75">
      <c r="K3" s="177" t="s">
        <v>292</v>
      </c>
    </row>
    <row r="4" ht="15.75">
      <c r="K4" s="177" t="s">
        <v>301</v>
      </c>
    </row>
    <row r="5" ht="15.75">
      <c r="K5" s="4"/>
    </row>
    <row r="6" spans="1:11" ht="33.75" customHeight="1">
      <c r="A6" s="1089" t="s">
        <v>832</v>
      </c>
      <c r="B6" s="1090"/>
      <c r="C6" s="1090"/>
      <c r="D6" s="1090"/>
      <c r="E6" s="1090"/>
      <c r="F6" s="1090"/>
      <c r="G6" s="1090"/>
      <c r="H6" s="1090"/>
      <c r="I6" s="1090"/>
      <c r="J6" s="1090"/>
      <c r="K6" s="1090"/>
    </row>
    <row r="7" spans="9:11" ht="15.75">
      <c r="I7" s="1"/>
      <c r="J7" s="4"/>
      <c r="K7" s="258" t="s">
        <v>293</v>
      </c>
    </row>
    <row r="8" spans="9:11" ht="15.75">
      <c r="I8" s="1"/>
      <c r="J8" s="4"/>
      <c r="K8" s="4" t="s">
        <v>568</v>
      </c>
    </row>
    <row r="9" spans="9:11" ht="15.75">
      <c r="I9" s="1"/>
      <c r="J9" s="4"/>
      <c r="K9" s="258" t="s">
        <v>569</v>
      </c>
    </row>
    <row r="10" spans="9:11" ht="15.75">
      <c r="I10" s="1030" t="s">
        <v>815</v>
      </c>
      <c r="J10" s="1030"/>
      <c r="K10" s="1030"/>
    </row>
    <row r="11" spans="9:11" ht="15.75">
      <c r="I11" s="1"/>
      <c r="J11" s="4"/>
      <c r="K11" s="4" t="s">
        <v>813</v>
      </c>
    </row>
    <row r="12" spans="9:11" ht="15.75">
      <c r="I12" s="1"/>
      <c r="J12" s="4"/>
      <c r="K12" s="4" t="s">
        <v>294</v>
      </c>
    </row>
    <row r="13" ht="15.75" thickBot="1"/>
    <row r="14" spans="1:11" s="129" customFormat="1" ht="84.75" customHeight="1">
      <c r="A14" s="955" t="s">
        <v>271</v>
      </c>
      <c r="B14" s="949" t="s">
        <v>282</v>
      </c>
      <c r="C14" s="957" t="s">
        <v>266</v>
      </c>
      <c r="D14" s="958"/>
      <c r="E14" s="959"/>
      <c r="F14" s="949" t="s">
        <v>267</v>
      </c>
      <c r="G14" s="949"/>
      <c r="H14" s="949" t="s">
        <v>285</v>
      </c>
      <c r="I14" s="949"/>
      <c r="J14" s="949"/>
      <c r="K14" s="949"/>
    </row>
    <row r="15" spans="1:11" s="129" customFormat="1" ht="39.75" customHeight="1">
      <c r="A15" s="956"/>
      <c r="B15" s="947"/>
      <c r="C15" s="947" t="s">
        <v>278</v>
      </c>
      <c r="D15" s="947" t="s">
        <v>279</v>
      </c>
      <c r="E15" s="947" t="s">
        <v>280</v>
      </c>
      <c r="F15" s="947" t="s">
        <v>283</v>
      </c>
      <c r="G15" s="947" t="s">
        <v>284</v>
      </c>
      <c r="H15" s="947" t="s">
        <v>288</v>
      </c>
      <c r="I15" s="947" t="s">
        <v>272</v>
      </c>
      <c r="J15" s="947" t="s">
        <v>289</v>
      </c>
      <c r="K15" s="947" t="s">
        <v>276</v>
      </c>
    </row>
    <row r="16" spans="1:11" ht="63.75" customHeight="1">
      <c r="A16" s="956"/>
      <c r="B16" s="947"/>
      <c r="C16" s="947"/>
      <c r="D16" s="947"/>
      <c r="E16" s="947"/>
      <c r="F16" s="947"/>
      <c r="G16" s="947"/>
      <c r="H16" s="947"/>
      <c r="I16" s="947"/>
      <c r="J16" s="947"/>
      <c r="K16" s="947"/>
    </row>
    <row r="17" spans="1:11" ht="33.75" customHeight="1">
      <c r="A17" s="279" t="s">
        <v>611</v>
      </c>
      <c r="B17" s="214" t="s">
        <v>181</v>
      </c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1" s="829" customFormat="1" ht="33.75" customHeight="1">
      <c r="A18" s="822" t="s">
        <v>612</v>
      </c>
      <c r="B18" s="823" t="str">
        <f>'приложение 7.1'!B21</f>
        <v>Энергосбережение и повышение энергетической эффективности</v>
      </c>
      <c r="C18" s="823"/>
      <c r="D18" s="823"/>
      <c r="E18" s="823"/>
      <c r="F18" s="823"/>
      <c r="G18" s="823"/>
      <c r="H18" s="823"/>
      <c r="I18" s="823"/>
      <c r="J18" s="823"/>
      <c r="K18" s="823"/>
    </row>
    <row r="19" spans="1:11" ht="15.75">
      <c r="A19" s="278" t="s">
        <v>650</v>
      </c>
      <c r="B19" s="826" t="str">
        <f>'приложение 7.1'!B22</f>
        <v>ВЛ-0,4 кВ</v>
      </c>
      <c r="C19" s="275"/>
      <c r="D19" s="275"/>
      <c r="E19" s="275"/>
      <c r="F19" s="275"/>
      <c r="G19" s="275"/>
      <c r="H19" s="275"/>
      <c r="I19" s="275"/>
      <c r="J19" s="275"/>
      <c r="K19" s="275"/>
    </row>
    <row r="20" spans="1:11" ht="15.75">
      <c r="A20" s="19">
        <v>1</v>
      </c>
      <c r="B20" s="206">
        <f>'приложение 7.1'!B24</f>
        <v>0</v>
      </c>
      <c r="C20" s="349" t="s">
        <v>598</v>
      </c>
      <c r="D20" s="349" t="s">
        <v>598</v>
      </c>
      <c r="E20" s="320">
        <f>'приложение 7.2'!AE22</f>
        <v>0</v>
      </c>
      <c r="F20" s="349">
        <v>2013</v>
      </c>
      <c r="G20" s="349">
        <v>2013</v>
      </c>
      <c r="H20" s="349" t="s">
        <v>541</v>
      </c>
      <c r="I20" s="673" t="s">
        <v>598</v>
      </c>
      <c r="J20" s="673" t="s">
        <v>598</v>
      </c>
      <c r="K20" s="673" t="s">
        <v>598</v>
      </c>
    </row>
    <row r="21" spans="1:11" ht="31.5">
      <c r="A21" s="19">
        <v>2</v>
      </c>
      <c r="B21" s="206" t="str">
        <f>'приложение 7.1'!B26</f>
        <v>Реконструкция ВЛ-0,4 кВ с заменой на СИП, с установкой КТПК №5 </v>
      </c>
      <c r="C21" s="349" t="s">
        <v>598</v>
      </c>
      <c r="D21" s="349" t="s">
        <v>598</v>
      </c>
      <c r="E21" s="320">
        <f>'приложение 7.2'!AE23</f>
        <v>0</v>
      </c>
      <c r="F21" s="349">
        <v>2013</v>
      </c>
      <c r="G21" s="349">
        <v>2013</v>
      </c>
      <c r="H21" s="349" t="s">
        <v>541</v>
      </c>
      <c r="I21" s="673" t="s">
        <v>598</v>
      </c>
      <c r="J21" s="673" t="s">
        <v>598</v>
      </c>
      <c r="K21" s="673" t="s">
        <v>598</v>
      </c>
    </row>
    <row r="22" spans="1:11" ht="15.75">
      <c r="A22" s="19">
        <v>3</v>
      </c>
      <c r="B22" s="206" t="e">
        <f>'приложение 7.1'!#REF!</f>
        <v>#REF!</v>
      </c>
      <c r="C22" s="349" t="s">
        <v>598</v>
      </c>
      <c r="D22" s="349" t="s">
        <v>598</v>
      </c>
      <c r="E22" s="320" t="e">
        <f>'приложение 7.2'!#REF!</f>
        <v>#REF!</v>
      </c>
      <c r="F22" s="349">
        <v>2013</v>
      </c>
      <c r="G22" s="349">
        <v>2013</v>
      </c>
      <c r="H22" s="349" t="s">
        <v>541</v>
      </c>
      <c r="I22" s="673" t="s">
        <v>598</v>
      </c>
      <c r="J22" s="673" t="s">
        <v>598</v>
      </c>
      <c r="K22" s="673" t="s">
        <v>598</v>
      </c>
    </row>
    <row r="23" spans="1:11" ht="15.75">
      <c r="A23" s="278" t="s">
        <v>650</v>
      </c>
      <c r="B23" s="826" t="str">
        <f>'приложение 7.1'!B27</f>
        <v>КЛ-0,4 кВ </v>
      </c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ht="21" customHeight="1">
      <c r="A24" s="19">
        <v>1</v>
      </c>
      <c r="B24" s="206" t="str">
        <f>'приложение 7.1'!B29</f>
        <v>ТП-310 ул.Шумилова,13Б</v>
      </c>
      <c r="C24" s="349" t="s">
        <v>598</v>
      </c>
      <c r="D24" s="349" t="s">
        <v>598</v>
      </c>
      <c r="E24" s="320" t="str">
        <f>'приложение 7.2'!AE28</f>
        <v>1,33 км</v>
      </c>
      <c r="F24" s="349">
        <v>2013</v>
      </c>
      <c r="G24" s="349">
        <v>2013</v>
      </c>
      <c r="H24" s="349" t="s">
        <v>541</v>
      </c>
      <c r="I24" s="673" t="s">
        <v>598</v>
      </c>
      <c r="J24" s="673" t="s">
        <v>598</v>
      </c>
      <c r="K24" s="673" t="s">
        <v>598</v>
      </c>
    </row>
    <row r="25" spans="1:11" ht="15.75">
      <c r="A25" s="19">
        <v>2</v>
      </c>
      <c r="B25" s="206" t="str">
        <f>'приложение 7.1'!B30</f>
        <v>ТП-341 б-р Эгерский,18А</v>
      </c>
      <c r="C25" s="349" t="s">
        <v>598</v>
      </c>
      <c r="D25" s="349" t="s">
        <v>598</v>
      </c>
      <c r="E25" s="320" t="str">
        <f>'приложение 7.2'!AE29</f>
        <v>2,49 км</v>
      </c>
      <c r="F25" s="349">
        <v>2013</v>
      </c>
      <c r="G25" s="349">
        <v>2013</v>
      </c>
      <c r="H25" s="349" t="s">
        <v>541</v>
      </c>
      <c r="I25" s="673" t="s">
        <v>598</v>
      </c>
      <c r="J25" s="673" t="s">
        <v>598</v>
      </c>
      <c r="K25" s="673" t="s">
        <v>598</v>
      </c>
    </row>
    <row r="26" spans="1:11" ht="15.75">
      <c r="A26" s="19">
        <v>3</v>
      </c>
      <c r="B26" s="206" t="str">
        <f>'приложение 7.1'!B31</f>
        <v>ТП-342 ул.Л.Комсомола,36А</v>
      </c>
      <c r="C26" s="349" t="s">
        <v>598</v>
      </c>
      <c r="D26" s="349" t="s">
        <v>598</v>
      </c>
      <c r="E26" s="320" t="str">
        <f>'приложение 7.2'!AE30</f>
        <v>1,9 км</v>
      </c>
      <c r="F26" s="349">
        <v>2013</v>
      </c>
      <c r="G26" s="349">
        <v>2013</v>
      </c>
      <c r="H26" s="349" t="s">
        <v>541</v>
      </c>
      <c r="I26" s="673" t="s">
        <v>598</v>
      </c>
      <c r="J26" s="673" t="s">
        <v>598</v>
      </c>
      <c r="K26" s="673" t="s">
        <v>598</v>
      </c>
    </row>
    <row r="27" spans="1:11" ht="31.5">
      <c r="A27" s="19">
        <v>4</v>
      </c>
      <c r="B27" s="206" t="str">
        <f>'приложение 7.1'!B32</f>
        <v>ТП-66 ул. Ленина, 16б, г.Чебоксары (разработка рабочей документации)</v>
      </c>
      <c r="C27" s="349" t="s">
        <v>598</v>
      </c>
      <c r="D27" s="349" t="s">
        <v>598</v>
      </c>
      <c r="E27" s="320" t="str">
        <f>'приложение 7.2'!AE31</f>
        <v>2,897 км</v>
      </c>
      <c r="F27" s="349">
        <v>2013</v>
      </c>
      <c r="G27" s="349">
        <v>2013</v>
      </c>
      <c r="H27" s="349" t="s">
        <v>541</v>
      </c>
      <c r="I27" s="673" t="s">
        <v>598</v>
      </c>
      <c r="J27" s="673" t="s">
        <v>598</v>
      </c>
      <c r="K27" s="673" t="s">
        <v>598</v>
      </c>
    </row>
    <row r="28" spans="1:11" ht="31.5">
      <c r="A28" s="19">
        <v>5</v>
      </c>
      <c r="B28" s="206" t="str">
        <f>'приложение 7.1'!B33</f>
        <v>ТП-260 ул. Гагарина, 15б, г.Чебоксары (разработка рабочей документации)</v>
      </c>
      <c r="C28" s="349" t="s">
        <v>598</v>
      </c>
      <c r="D28" s="349" t="s">
        <v>598</v>
      </c>
      <c r="E28" s="320" t="str">
        <f>'приложение 7.2'!AE32</f>
        <v>1,886 км</v>
      </c>
      <c r="F28" s="349">
        <v>2013</v>
      </c>
      <c r="G28" s="349">
        <v>2013</v>
      </c>
      <c r="H28" s="349" t="s">
        <v>541</v>
      </c>
      <c r="I28" s="673" t="s">
        <v>598</v>
      </c>
      <c r="J28" s="673" t="s">
        <v>598</v>
      </c>
      <c r="K28" s="673" t="s">
        <v>598</v>
      </c>
    </row>
    <row r="29" spans="1:11" ht="15.75">
      <c r="A29" s="19">
        <v>6</v>
      </c>
      <c r="B29" s="206" t="e">
        <f>'приложение 7.1'!#REF!</f>
        <v>#REF!</v>
      </c>
      <c r="C29" s="349" t="s">
        <v>598</v>
      </c>
      <c r="D29" s="349" t="s">
        <v>598</v>
      </c>
      <c r="E29" s="320" t="e">
        <f>'приложение 7.2'!#REF!</f>
        <v>#REF!</v>
      </c>
      <c r="F29" s="349">
        <v>2013</v>
      </c>
      <c r="G29" s="349">
        <v>2013</v>
      </c>
      <c r="H29" s="349" t="s">
        <v>541</v>
      </c>
      <c r="I29" s="673" t="s">
        <v>598</v>
      </c>
      <c r="J29" s="673" t="s">
        <v>598</v>
      </c>
      <c r="K29" s="673" t="s">
        <v>598</v>
      </c>
    </row>
    <row r="30" spans="1:11" ht="15.75">
      <c r="A30" s="19">
        <v>7</v>
      </c>
      <c r="B30" s="206" t="e">
        <f>'приложение 7.1'!#REF!</f>
        <v>#REF!</v>
      </c>
      <c r="C30" s="349" t="s">
        <v>598</v>
      </c>
      <c r="D30" s="349" t="s">
        <v>598</v>
      </c>
      <c r="E30" s="320" t="e">
        <f>'приложение 7.2'!#REF!</f>
        <v>#REF!</v>
      </c>
      <c r="F30" s="349">
        <v>2013</v>
      </c>
      <c r="G30" s="349">
        <v>2013</v>
      </c>
      <c r="H30" s="349" t="s">
        <v>541</v>
      </c>
      <c r="I30" s="673" t="s">
        <v>598</v>
      </c>
      <c r="J30" s="673" t="s">
        <v>598</v>
      </c>
      <c r="K30" s="673" t="s">
        <v>598</v>
      </c>
    </row>
    <row r="31" spans="1:11" ht="15.75">
      <c r="A31" s="19">
        <v>8</v>
      </c>
      <c r="B31" s="206" t="e">
        <f>'приложение 7.1'!#REF!</f>
        <v>#REF!</v>
      </c>
      <c r="C31" s="349" t="s">
        <v>598</v>
      </c>
      <c r="D31" s="349" t="s">
        <v>598</v>
      </c>
      <c r="E31" s="320" t="e">
        <f>'приложение 7.2'!#REF!</f>
        <v>#REF!</v>
      </c>
      <c r="F31" s="349">
        <v>2013</v>
      </c>
      <c r="G31" s="349">
        <v>2013</v>
      </c>
      <c r="H31" s="349" t="s">
        <v>541</v>
      </c>
      <c r="I31" s="673" t="s">
        <v>598</v>
      </c>
      <c r="J31" s="673" t="s">
        <v>598</v>
      </c>
      <c r="K31" s="673" t="s">
        <v>598</v>
      </c>
    </row>
    <row r="32" spans="1:11" ht="15.75">
      <c r="A32" s="278" t="s">
        <v>654</v>
      </c>
      <c r="B32" s="826" t="str">
        <f>'приложение 7.1'!B34</f>
        <v>ТП-6-10/0.4 кВ</v>
      </c>
      <c r="C32" s="275"/>
      <c r="D32" s="275"/>
      <c r="E32" s="275"/>
      <c r="F32" s="275"/>
      <c r="G32" s="275"/>
      <c r="H32" s="275"/>
      <c r="I32" s="275"/>
      <c r="J32" s="275"/>
      <c r="K32" s="275"/>
    </row>
    <row r="33" spans="1:11" ht="68.25" customHeight="1">
      <c r="A33" s="19">
        <v>1</v>
      </c>
      <c r="B33" s="206">
        <f>'приложение 7.1'!B35</f>
        <v>0</v>
      </c>
      <c r="C33" s="349" t="s">
        <v>598</v>
      </c>
      <c r="D33" s="349" t="s">
        <v>598</v>
      </c>
      <c r="E33" s="344">
        <f>'приложение 7.2'!AE34</f>
        <v>0</v>
      </c>
      <c r="F33" s="349">
        <v>2013</v>
      </c>
      <c r="G33" s="349">
        <v>2013</v>
      </c>
      <c r="H33" s="349" t="s">
        <v>541</v>
      </c>
      <c r="I33" s="673" t="s">
        <v>598</v>
      </c>
      <c r="J33" s="673" t="s">
        <v>598</v>
      </c>
      <c r="K33" s="673" t="s">
        <v>598</v>
      </c>
    </row>
    <row r="34" spans="1:11" s="829" customFormat="1" ht="33.75" customHeight="1">
      <c r="A34" s="822" t="s">
        <v>623</v>
      </c>
      <c r="B34" s="823" t="str">
        <f>'приложение 7.1'!B41</f>
        <v>Прочее техническое перевооружение и реконструкция</v>
      </c>
      <c r="C34" s="823"/>
      <c r="D34" s="823"/>
      <c r="E34" s="823"/>
      <c r="F34" s="823"/>
      <c r="G34" s="823"/>
      <c r="H34" s="823"/>
      <c r="I34" s="823"/>
      <c r="J34" s="823"/>
      <c r="K34" s="823"/>
    </row>
    <row r="35" spans="1:11" ht="15.75">
      <c r="A35" s="278" t="s">
        <v>817</v>
      </c>
      <c r="B35" s="826" t="str">
        <f>'приложение 7.1'!B42</f>
        <v>ПС 110/6 кВ</v>
      </c>
      <c r="C35" s="275"/>
      <c r="D35" s="275"/>
      <c r="E35" s="275"/>
      <c r="F35" s="275"/>
      <c r="G35" s="275"/>
      <c r="H35" s="275"/>
      <c r="I35" s="275"/>
      <c r="J35" s="275"/>
      <c r="K35" s="275"/>
    </row>
    <row r="36" spans="1:11" ht="15.75">
      <c r="A36" s="19">
        <v>1</v>
      </c>
      <c r="B36" s="206" t="e">
        <f>'приложение 7.1'!#REF!</f>
        <v>#REF!</v>
      </c>
      <c r="C36" s="349" t="s">
        <v>598</v>
      </c>
      <c r="D36" s="349" t="s">
        <v>598</v>
      </c>
      <c r="E36" s="320" t="s">
        <v>598</v>
      </c>
      <c r="F36" s="349">
        <v>2013</v>
      </c>
      <c r="G36" s="349">
        <v>2013</v>
      </c>
      <c r="H36" s="673" t="s">
        <v>598</v>
      </c>
      <c r="I36" s="673" t="s">
        <v>598</v>
      </c>
      <c r="J36" s="673" t="s">
        <v>598</v>
      </c>
      <c r="K36" s="673" t="s">
        <v>598</v>
      </c>
    </row>
    <row r="37" spans="1:11" ht="15.75">
      <c r="A37" s="278" t="s">
        <v>706</v>
      </c>
      <c r="B37" s="826" t="str">
        <f>'приложение 7.1'!B43</f>
        <v>ВЛ-6-10 кВ</v>
      </c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1" ht="15.75">
      <c r="A38" s="19">
        <v>1</v>
      </c>
      <c r="B38" s="206" t="e">
        <f>'приложение 7.1'!#REF!</f>
        <v>#REF!</v>
      </c>
      <c r="C38" s="349" t="s">
        <v>598</v>
      </c>
      <c r="D38" s="349" t="s">
        <v>598</v>
      </c>
      <c r="E38" s="320" t="e">
        <f>'приложение 7.2'!#REF!</f>
        <v>#REF!</v>
      </c>
      <c r="F38" s="349">
        <v>2013</v>
      </c>
      <c r="G38" s="349">
        <v>2013</v>
      </c>
      <c r="H38" s="673" t="s">
        <v>598</v>
      </c>
      <c r="I38" s="673" t="s">
        <v>598</v>
      </c>
      <c r="J38" s="673" t="s">
        <v>598</v>
      </c>
      <c r="K38" s="673" t="s">
        <v>598</v>
      </c>
    </row>
    <row r="39" spans="1:11" ht="39.75" customHeight="1">
      <c r="A39" s="19">
        <v>2</v>
      </c>
      <c r="B39" s="206" t="e">
        <f>'приложение 7.1'!#REF!</f>
        <v>#REF!</v>
      </c>
      <c r="C39" s="349" t="s">
        <v>598</v>
      </c>
      <c r="D39" s="349" t="s">
        <v>598</v>
      </c>
      <c r="E39" s="320" t="e">
        <f>'приложение 7.2'!#REF!</f>
        <v>#REF!</v>
      </c>
      <c r="F39" s="349">
        <v>2013</v>
      </c>
      <c r="G39" s="349">
        <v>2013</v>
      </c>
      <c r="H39" s="349" t="s">
        <v>541</v>
      </c>
      <c r="I39" s="673" t="s">
        <v>598</v>
      </c>
      <c r="J39" s="673" t="s">
        <v>598</v>
      </c>
      <c r="K39" s="673" t="s">
        <v>598</v>
      </c>
    </row>
    <row r="40" spans="1:11" ht="21" customHeight="1">
      <c r="A40" s="19">
        <v>3</v>
      </c>
      <c r="B40" s="206" t="e">
        <f>'приложение 7.1'!#REF!</f>
        <v>#REF!</v>
      </c>
      <c r="C40" s="349" t="s">
        <v>598</v>
      </c>
      <c r="D40" s="349" t="s">
        <v>598</v>
      </c>
      <c r="E40" s="320" t="e">
        <f>'приложение 7.2'!#REF!</f>
        <v>#REF!</v>
      </c>
      <c r="F40" s="349">
        <v>2013</v>
      </c>
      <c r="G40" s="349">
        <v>2013</v>
      </c>
      <c r="H40" s="349" t="s">
        <v>541</v>
      </c>
      <c r="I40" s="673" t="s">
        <v>598</v>
      </c>
      <c r="J40" s="673" t="s">
        <v>598</v>
      </c>
      <c r="K40" s="673" t="s">
        <v>598</v>
      </c>
    </row>
    <row r="41" spans="1:11" ht="15.75">
      <c r="A41" s="278" t="s">
        <v>707</v>
      </c>
      <c r="B41" s="826" t="str">
        <f>'приложение 7.1'!B46</f>
        <v>ВЛ-0,4 кВ</v>
      </c>
      <c r="C41" s="275"/>
      <c r="D41" s="275"/>
      <c r="E41" s="275"/>
      <c r="F41" s="275"/>
      <c r="G41" s="275"/>
      <c r="H41" s="275"/>
      <c r="I41" s="275"/>
      <c r="J41" s="275"/>
      <c r="K41" s="275"/>
    </row>
    <row r="42" spans="1:11" ht="36" customHeight="1">
      <c r="A42" s="19">
        <v>1</v>
      </c>
      <c r="B42" s="206" t="str">
        <f>'приложение 7.1'!B52</f>
        <v>от КТПК №4  (с установкой КТПН), г. Мариинский Посад</v>
      </c>
      <c r="C42" s="349" t="s">
        <v>598</v>
      </c>
      <c r="D42" s="349" t="s">
        <v>598</v>
      </c>
      <c r="E42" s="320" t="str">
        <f>'приложение 7.2'!AE51</f>
        <v>3,6 км</v>
      </c>
      <c r="F42" s="349">
        <v>2013</v>
      </c>
      <c r="G42" s="349">
        <v>2013</v>
      </c>
      <c r="H42" s="673" t="s">
        <v>598</v>
      </c>
      <c r="I42" s="673" t="s">
        <v>598</v>
      </c>
      <c r="J42" s="673" t="s">
        <v>598</v>
      </c>
      <c r="K42" s="673" t="s">
        <v>598</v>
      </c>
    </row>
    <row r="43" spans="1:11" ht="49.5" customHeight="1">
      <c r="A43" s="19">
        <v>2</v>
      </c>
      <c r="B43" s="206" t="e">
        <f>'приложение 7.1'!#REF!</f>
        <v>#REF!</v>
      </c>
      <c r="C43" s="349" t="s">
        <v>598</v>
      </c>
      <c r="D43" s="349" t="s">
        <v>598</v>
      </c>
      <c r="E43" s="320" t="e">
        <f>'приложение 7.2'!#REF!</f>
        <v>#REF!</v>
      </c>
      <c r="F43" s="349">
        <v>2013</v>
      </c>
      <c r="G43" s="349">
        <v>2013</v>
      </c>
      <c r="H43" s="349" t="s">
        <v>541</v>
      </c>
      <c r="I43" s="673" t="s">
        <v>598</v>
      </c>
      <c r="J43" s="673" t="s">
        <v>598</v>
      </c>
      <c r="K43" s="673" t="s">
        <v>598</v>
      </c>
    </row>
    <row r="44" spans="1:11" ht="66" customHeight="1">
      <c r="A44" s="19">
        <v>3</v>
      </c>
      <c r="B44" s="206" t="str">
        <f>'приложение 7.1'!B53</f>
        <v>от ТП-14 (с установкой КТПН) - 1 часть, г. Мариинский Посад</v>
      </c>
      <c r="C44" s="349" t="s">
        <v>598</v>
      </c>
      <c r="D44" s="349" t="s">
        <v>598</v>
      </c>
      <c r="E44" s="320" t="str">
        <f>'приложение 7.2'!AE52</f>
        <v>2,2 км</v>
      </c>
      <c r="F44" s="349">
        <v>2013</v>
      </c>
      <c r="G44" s="349">
        <v>2013</v>
      </c>
      <c r="H44" s="673" t="s">
        <v>598</v>
      </c>
      <c r="I44" s="673" t="s">
        <v>598</v>
      </c>
      <c r="J44" s="673" t="s">
        <v>598</v>
      </c>
      <c r="K44" s="673" t="s">
        <v>598</v>
      </c>
    </row>
    <row r="45" spans="1:11" ht="15.75">
      <c r="A45" s="278" t="s">
        <v>708</v>
      </c>
      <c r="B45" s="826" t="str">
        <f>'приложение 7.1'!B54</f>
        <v>КЛ-6-10 кВ</v>
      </c>
      <c r="C45" s="275"/>
      <c r="D45" s="275"/>
      <c r="E45" s="275"/>
      <c r="F45" s="275"/>
      <c r="G45" s="275"/>
      <c r="H45" s="275"/>
      <c r="I45" s="275"/>
      <c r="J45" s="275"/>
      <c r="K45" s="275"/>
    </row>
    <row r="46" spans="1:11" ht="52.5" customHeight="1">
      <c r="A46" s="19">
        <v>1</v>
      </c>
      <c r="B46" s="206" t="str">
        <f>'приложение 7.1'!B56</f>
        <v>КЛ-6 кВ от ТП-542 до ТП-123 (разработка рабочей документации)</v>
      </c>
      <c r="C46" s="349" t="s">
        <v>598</v>
      </c>
      <c r="D46" s="349" t="s">
        <v>598</v>
      </c>
      <c r="E46" s="320" t="str">
        <f>'приложение 7.2'!AE55</f>
        <v>0,54 км</v>
      </c>
      <c r="F46" s="349">
        <v>2013</v>
      </c>
      <c r="G46" s="349">
        <v>2013</v>
      </c>
      <c r="H46" s="673" t="s">
        <v>598</v>
      </c>
      <c r="I46" s="673" t="s">
        <v>598</v>
      </c>
      <c r="J46" s="673" t="s">
        <v>598</v>
      </c>
      <c r="K46" s="673" t="s">
        <v>598</v>
      </c>
    </row>
    <row r="47" spans="1:11" ht="47.25">
      <c r="A47" s="19">
        <v>2</v>
      </c>
      <c r="B47" s="206" t="str">
        <f>'приложение 7.1'!B57</f>
        <v>КЛ-6 кВ  от ПС "Парковая" до РП-17 (перезаводка КЛ от ПС "ВНИИР"), разработка рабочей документации</v>
      </c>
      <c r="C47" s="349" t="s">
        <v>598</v>
      </c>
      <c r="D47" s="349" t="s">
        <v>598</v>
      </c>
      <c r="E47" s="320" t="str">
        <f>'приложение 7.2'!AE56</f>
        <v>2х0,3 км</v>
      </c>
      <c r="F47" s="349">
        <v>2013</v>
      </c>
      <c r="G47" s="349">
        <v>2013</v>
      </c>
      <c r="H47" s="673" t="s">
        <v>598</v>
      </c>
      <c r="I47" s="673" t="s">
        <v>598</v>
      </c>
      <c r="J47" s="673" t="s">
        <v>598</v>
      </c>
      <c r="K47" s="673" t="s">
        <v>598</v>
      </c>
    </row>
    <row r="48" spans="1:11" ht="15.75">
      <c r="A48" s="19">
        <v>3</v>
      </c>
      <c r="B48" s="206" t="e">
        <f>'приложение 7.1'!#REF!</f>
        <v>#REF!</v>
      </c>
      <c r="C48" s="349" t="s">
        <v>598</v>
      </c>
      <c r="D48" s="349" t="s">
        <v>598</v>
      </c>
      <c r="E48" s="320" t="e">
        <f>'приложение 7.2'!#REF!</f>
        <v>#REF!</v>
      </c>
      <c r="F48" s="349">
        <v>2013</v>
      </c>
      <c r="G48" s="349">
        <v>2013</v>
      </c>
      <c r="H48" s="349" t="s">
        <v>541</v>
      </c>
      <c r="I48" s="673" t="s">
        <v>598</v>
      </c>
      <c r="J48" s="673" t="s">
        <v>598</v>
      </c>
      <c r="K48" s="673" t="s">
        <v>598</v>
      </c>
    </row>
    <row r="49" spans="1:11" ht="82.5" customHeight="1">
      <c r="A49" s="19">
        <v>4</v>
      </c>
      <c r="B49" s="206" t="str">
        <f>'приложение 7.1'!B58</f>
        <v>КЛ-6 кВ  от КТПН по ул.Пристанционная до опоры ВЛ от РП-17 (изменение точки присоединения), разработка рабочей документации</v>
      </c>
      <c r="C49" s="349" t="s">
        <v>598</v>
      </c>
      <c r="D49" s="349" t="s">
        <v>598</v>
      </c>
      <c r="E49" s="320" t="str">
        <f>'приложение 7.2'!AE57</f>
        <v>1,0 км</v>
      </c>
      <c r="F49" s="349">
        <v>2013</v>
      </c>
      <c r="G49" s="349">
        <v>2013</v>
      </c>
      <c r="H49" s="673" t="s">
        <v>598</v>
      </c>
      <c r="I49" s="673" t="s">
        <v>598</v>
      </c>
      <c r="J49" s="673" t="s">
        <v>598</v>
      </c>
      <c r="K49" s="673" t="s">
        <v>598</v>
      </c>
    </row>
    <row r="50" spans="1:11" ht="15.75">
      <c r="A50" s="278" t="s">
        <v>709</v>
      </c>
      <c r="B50" s="826" t="str">
        <f>'приложение 7.1'!B62</f>
        <v>КЛ-0,4 кВ</v>
      </c>
      <c r="C50" s="275"/>
      <c r="D50" s="275"/>
      <c r="E50" s="275"/>
      <c r="F50" s="275"/>
      <c r="G50" s="275"/>
      <c r="H50" s="275"/>
      <c r="I50" s="275"/>
      <c r="J50" s="275"/>
      <c r="K50" s="275"/>
    </row>
    <row r="51" spans="1:11" ht="15.75">
      <c r="A51" s="19">
        <v>1</v>
      </c>
      <c r="B51" s="206" t="str">
        <f>'приложение 7.1'!B64</f>
        <v>ТП-300 ул.Хузангая,4А</v>
      </c>
      <c r="C51" s="349" t="s">
        <v>598</v>
      </c>
      <c r="D51" s="349" t="s">
        <v>598</v>
      </c>
      <c r="E51" s="320" t="str">
        <f>'приложение 7.2'!AE63</f>
        <v>1,53 км</v>
      </c>
      <c r="F51" s="349">
        <v>2013</v>
      </c>
      <c r="G51" s="349">
        <v>2013</v>
      </c>
      <c r="H51" s="673" t="s">
        <v>598</v>
      </c>
      <c r="I51" s="673" t="s">
        <v>598</v>
      </c>
      <c r="J51" s="673" t="s">
        <v>598</v>
      </c>
      <c r="K51" s="673" t="s">
        <v>598</v>
      </c>
    </row>
    <row r="52" spans="1:11" ht="15.75">
      <c r="A52" s="19">
        <f aca="true" t="shared" si="0" ref="A52:A57">1+A51</f>
        <v>2</v>
      </c>
      <c r="B52" s="206" t="str">
        <f>'приложение 7.1'!B65</f>
        <v>ТП-222 (2 этап) пр. Московский, 42 А</v>
      </c>
      <c r="C52" s="349" t="s">
        <v>598</v>
      </c>
      <c r="D52" s="349" t="s">
        <v>598</v>
      </c>
      <c r="E52" s="320" t="str">
        <f>'приложение 7.2'!AE64</f>
        <v>1,208 км</v>
      </c>
      <c r="F52" s="349">
        <v>2013</v>
      </c>
      <c r="G52" s="349">
        <v>2013</v>
      </c>
      <c r="H52" s="673" t="s">
        <v>598</v>
      </c>
      <c r="I52" s="673" t="s">
        <v>598</v>
      </c>
      <c r="J52" s="673" t="s">
        <v>598</v>
      </c>
      <c r="K52" s="673" t="s">
        <v>598</v>
      </c>
    </row>
    <row r="53" spans="1:11" ht="15.75">
      <c r="A53" s="19">
        <f t="shared" si="0"/>
        <v>3</v>
      </c>
      <c r="B53" s="206" t="str">
        <f>'приложение 7.1'!B66</f>
        <v>ТП-303 (2 этап) пр. 9ой Пятилетки, 3 Б</v>
      </c>
      <c r="C53" s="349" t="s">
        <v>598</v>
      </c>
      <c r="D53" s="349" t="s">
        <v>598</v>
      </c>
      <c r="E53" s="320" t="str">
        <f>'приложение 7.2'!AE65</f>
        <v>2,18 км</v>
      </c>
      <c r="F53" s="349">
        <v>2013</v>
      </c>
      <c r="G53" s="349">
        <v>2013</v>
      </c>
      <c r="H53" s="673" t="s">
        <v>598</v>
      </c>
      <c r="I53" s="673" t="s">
        <v>598</v>
      </c>
      <c r="J53" s="673" t="s">
        <v>598</v>
      </c>
      <c r="K53" s="673" t="s">
        <v>598</v>
      </c>
    </row>
    <row r="54" spans="1:11" ht="47.25">
      <c r="A54" s="19">
        <f t="shared" si="0"/>
        <v>4</v>
      </c>
      <c r="B54" s="206" t="str">
        <f>'приложение 7.1'!B67</f>
        <v>ТП-357 ул. Эгерский б-р, 28а, г.Чебоксары, (разработка рабочей документации)</v>
      </c>
      <c r="C54" s="349" t="s">
        <v>598</v>
      </c>
      <c r="D54" s="349" t="s">
        <v>598</v>
      </c>
      <c r="E54" s="320" t="str">
        <f>'приложение 7.2'!AE66</f>
        <v>0,19 км</v>
      </c>
      <c r="F54" s="349">
        <v>2013</v>
      </c>
      <c r="G54" s="349">
        <v>2013</v>
      </c>
      <c r="H54" s="673" t="s">
        <v>541</v>
      </c>
      <c r="I54" s="673" t="s">
        <v>598</v>
      </c>
      <c r="J54" s="673" t="s">
        <v>598</v>
      </c>
      <c r="K54" s="673" t="s">
        <v>598</v>
      </c>
    </row>
    <row r="55" spans="1:11" ht="31.5">
      <c r="A55" s="19">
        <f t="shared" si="0"/>
        <v>5</v>
      </c>
      <c r="B55" s="206" t="str">
        <f>'приложение 7.1'!B68</f>
        <v>РП-18 ул. Шумилова, 18Б, г.Чебоксары (разработка рабочей документации)</v>
      </c>
      <c r="C55" s="349" t="s">
        <v>598</v>
      </c>
      <c r="D55" s="349" t="s">
        <v>598</v>
      </c>
      <c r="E55" s="320" t="str">
        <f>'приложение 7.2'!AE67</f>
        <v>0,55 км</v>
      </c>
      <c r="F55" s="349">
        <v>2013</v>
      </c>
      <c r="G55" s="349">
        <v>2013</v>
      </c>
      <c r="H55" s="673" t="s">
        <v>541</v>
      </c>
      <c r="I55" s="673" t="s">
        <v>598</v>
      </c>
      <c r="J55" s="673" t="s">
        <v>598</v>
      </c>
      <c r="K55" s="673" t="s">
        <v>598</v>
      </c>
    </row>
    <row r="56" spans="1:11" ht="47.25">
      <c r="A56" s="19">
        <f t="shared" si="0"/>
        <v>6</v>
      </c>
      <c r="B56" s="206" t="str">
        <f>'приложение 7.1'!B69</f>
        <v>РП-10 до ж/д 12,14,16 по ул. Николаева, г.Чебоксары, (разработка рабочей документации)</v>
      </c>
      <c r="C56" s="349" t="s">
        <v>598</v>
      </c>
      <c r="D56" s="349" t="s">
        <v>598</v>
      </c>
      <c r="E56" s="320" t="str">
        <f>'приложение 7.2'!AE68</f>
        <v>2х0,24 км</v>
      </c>
      <c r="F56" s="349">
        <v>2013</v>
      </c>
      <c r="G56" s="349">
        <v>2013</v>
      </c>
      <c r="H56" s="673" t="s">
        <v>541</v>
      </c>
      <c r="I56" s="673" t="s">
        <v>598</v>
      </c>
      <c r="J56" s="673" t="s">
        <v>598</v>
      </c>
      <c r="K56" s="673" t="s">
        <v>598</v>
      </c>
    </row>
    <row r="57" spans="1:11" ht="15.75">
      <c r="A57" s="19">
        <f t="shared" si="0"/>
        <v>7</v>
      </c>
      <c r="B57" s="206" t="e">
        <f>'приложение 7.1'!#REF!</f>
        <v>#REF!</v>
      </c>
      <c r="C57" s="349" t="s">
        <v>598</v>
      </c>
      <c r="D57" s="349" t="s">
        <v>598</v>
      </c>
      <c r="E57" s="320" t="str">
        <f>'приложение 7.2'!AE75</f>
        <v>1,37 км</v>
      </c>
      <c r="F57" s="349">
        <v>2013</v>
      </c>
      <c r="G57" s="349">
        <v>2013</v>
      </c>
      <c r="H57" s="673" t="s">
        <v>598</v>
      </c>
      <c r="I57" s="673" t="s">
        <v>598</v>
      </c>
      <c r="J57" s="673" t="s">
        <v>598</v>
      </c>
      <c r="K57" s="673" t="s">
        <v>598</v>
      </c>
    </row>
    <row r="58" spans="1:11" ht="15.75">
      <c r="A58" s="278" t="s">
        <v>818</v>
      </c>
      <c r="B58" s="826" t="str">
        <f>'приложение 7.1'!B77</f>
        <v>РП-6-10 кВ</v>
      </c>
      <c r="C58" s="275"/>
      <c r="D58" s="275"/>
      <c r="E58" s="275"/>
      <c r="F58" s="275"/>
      <c r="G58" s="275"/>
      <c r="H58" s="275"/>
      <c r="I58" s="275"/>
      <c r="J58" s="275"/>
      <c r="K58" s="275"/>
    </row>
    <row r="59" spans="1:11" ht="15.75">
      <c r="A59" s="19">
        <v>1</v>
      </c>
      <c r="B59" s="206" t="str">
        <f>'приложение 7.1'!B78</f>
        <v>г.Чебоксары</v>
      </c>
      <c r="C59" s="349" t="s">
        <v>598</v>
      </c>
      <c r="D59" s="349" t="s">
        <v>598</v>
      </c>
      <c r="E59" s="344">
        <f>'приложение 7.2'!AE77</f>
        <v>0</v>
      </c>
      <c r="F59" s="349">
        <v>2013</v>
      </c>
      <c r="G59" s="349">
        <v>2013</v>
      </c>
      <c r="H59" s="673" t="s">
        <v>598</v>
      </c>
      <c r="I59" s="673" t="s">
        <v>598</v>
      </c>
      <c r="J59" s="673" t="s">
        <v>541</v>
      </c>
      <c r="K59" s="673" t="s">
        <v>541</v>
      </c>
    </row>
    <row r="60" spans="1:11" ht="15.75">
      <c r="A60" s="278" t="s">
        <v>710</v>
      </c>
      <c r="B60" s="826" t="str">
        <f>'приложение 7.1'!B81</f>
        <v>ТП-6-10/0.4 кВ</v>
      </c>
      <c r="C60" s="275"/>
      <c r="D60" s="275"/>
      <c r="E60" s="275"/>
      <c r="F60" s="275"/>
      <c r="G60" s="275"/>
      <c r="H60" s="275"/>
      <c r="I60" s="275"/>
      <c r="J60" s="275"/>
      <c r="K60" s="275"/>
    </row>
    <row r="61" spans="1:11" ht="51" customHeight="1">
      <c r="A61" s="19">
        <v>1</v>
      </c>
      <c r="B61" s="206" t="str">
        <f>'приложение 7.1'!B83</f>
        <v>ТП-216, ул.К.Маркса, 36А, г.Чебоксары</v>
      </c>
      <c r="C61" s="349" t="s">
        <v>598</v>
      </c>
      <c r="D61" s="349" t="s">
        <v>598</v>
      </c>
      <c r="E61" s="344">
        <f>'приложение 7.2'!AE82</f>
        <v>0</v>
      </c>
      <c r="F61" s="349">
        <v>2013</v>
      </c>
      <c r="G61" s="349">
        <v>2013</v>
      </c>
      <c r="H61" s="673" t="s">
        <v>598</v>
      </c>
      <c r="I61" s="673" t="s">
        <v>598</v>
      </c>
      <c r="J61" s="673" t="s">
        <v>541</v>
      </c>
      <c r="K61" s="673" t="s">
        <v>541</v>
      </c>
    </row>
    <row r="62" spans="1:11" ht="51" customHeight="1">
      <c r="A62" s="19">
        <v>2</v>
      </c>
      <c r="B62" s="206" t="str">
        <f>'приложение 7.1'!B84</f>
        <v>ТП-277,  ул.Хевешская, 27А (разработка рабочей документации)</v>
      </c>
      <c r="C62" s="349" t="s">
        <v>598</v>
      </c>
      <c r="D62" s="349" t="s">
        <v>598</v>
      </c>
      <c r="E62" s="344">
        <f>'приложение 7.2'!AE83</f>
        <v>0</v>
      </c>
      <c r="F62" s="349">
        <v>2013</v>
      </c>
      <c r="G62" s="349">
        <v>2013</v>
      </c>
      <c r="H62" s="673" t="s">
        <v>598</v>
      </c>
      <c r="I62" s="673" t="s">
        <v>598</v>
      </c>
      <c r="J62" s="673" t="s">
        <v>541</v>
      </c>
      <c r="K62" s="673" t="s">
        <v>541</v>
      </c>
    </row>
    <row r="63" spans="1:11" ht="51" customHeight="1">
      <c r="A63" s="19">
        <v>3</v>
      </c>
      <c r="B63" s="206" t="str">
        <f>'приложение 7.1'!B85</f>
        <v>ТП-153,  ул.Обиковская,567А, (разработка рабочей документации)</v>
      </c>
      <c r="C63" s="349" t="s">
        <v>598</v>
      </c>
      <c r="D63" s="349" t="s">
        <v>598</v>
      </c>
      <c r="E63" s="344">
        <f>'приложение 7.2'!AE84</f>
        <v>0</v>
      </c>
      <c r="F63" s="349">
        <v>2013</v>
      </c>
      <c r="G63" s="349">
        <v>2013</v>
      </c>
      <c r="H63" s="673" t="s">
        <v>598</v>
      </c>
      <c r="I63" s="673" t="s">
        <v>598</v>
      </c>
      <c r="J63" s="673" t="s">
        <v>541</v>
      </c>
      <c r="K63" s="673" t="s">
        <v>541</v>
      </c>
    </row>
    <row r="64" spans="1:11" ht="51" customHeight="1">
      <c r="A64" s="19">
        <v>4</v>
      </c>
      <c r="B64" s="206" t="str">
        <f>'приложение 7.1'!B86</f>
        <v>ТП-232 пр.Мира, 22А (замена КСО и ЩО), разработка рабочей документации</v>
      </c>
      <c r="C64" s="349" t="s">
        <v>598</v>
      </c>
      <c r="D64" s="349" t="s">
        <v>598</v>
      </c>
      <c r="E64" s="344">
        <f>'приложение 7.2'!AE85</f>
        <v>0</v>
      </c>
      <c r="F64" s="349">
        <v>2013</v>
      </c>
      <c r="G64" s="349">
        <v>2013</v>
      </c>
      <c r="H64" s="673" t="s">
        <v>598</v>
      </c>
      <c r="I64" s="673" t="s">
        <v>598</v>
      </c>
      <c r="J64" s="673" t="s">
        <v>541</v>
      </c>
      <c r="K64" s="673" t="s">
        <v>541</v>
      </c>
    </row>
    <row r="65" spans="1:11" ht="51" customHeight="1">
      <c r="A65" s="19">
        <v>5</v>
      </c>
      <c r="B65" s="206" t="e">
        <f>'приложение 7.1'!#REF!</f>
        <v>#REF!</v>
      </c>
      <c r="C65" s="349" t="s">
        <v>598</v>
      </c>
      <c r="D65" s="349" t="s">
        <v>598</v>
      </c>
      <c r="E65" s="344">
        <f>'приложение 7.2'!AE92</f>
        <v>0</v>
      </c>
      <c r="F65" s="349">
        <v>2013</v>
      </c>
      <c r="G65" s="349">
        <v>2013</v>
      </c>
      <c r="H65" s="673" t="s">
        <v>541</v>
      </c>
      <c r="I65" s="673" t="s">
        <v>598</v>
      </c>
      <c r="J65" s="673" t="s">
        <v>541</v>
      </c>
      <c r="K65" s="673" t="s">
        <v>541</v>
      </c>
    </row>
    <row r="66" spans="1:11" ht="51" customHeight="1">
      <c r="A66" s="19">
        <v>6</v>
      </c>
      <c r="B66" s="206" t="e">
        <f>'приложение 7.1'!#REF!</f>
        <v>#REF!</v>
      </c>
      <c r="C66" s="349" t="s">
        <v>598</v>
      </c>
      <c r="D66" s="349" t="s">
        <v>598</v>
      </c>
      <c r="E66" s="344">
        <f>'приложение 7.2'!AE93</f>
        <v>0</v>
      </c>
      <c r="F66" s="349">
        <v>2013</v>
      </c>
      <c r="G66" s="349">
        <v>2013</v>
      </c>
      <c r="H66" s="673" t="s">
        <v>541</v>
      </c>
      <c r="I66" s="673" t="s">
        <v>598</v>
      </c>
      <c r="J66" s="673" t="s">
        <v>541</v>
      </c>
      <c r="K66" s="673" t="s">
        <v>541</v>
      </c>
    </row>
    <row r="67" spans="1:11" ht="84" customHeight="1">
      <c r="A67" s="19">
        <v>7</v>
      </c>
      <c r="B67" s="206" t="e">
        <f>'приложение 7.1'!#REF!</f>
        <v>#REF!</v>
      </c>
      <c r="C67" s="349" t="s">
        <v>598</v>
      </c>
      <c r="D67" s="349" t="s">
        <v>598</v>
      </c>
      <c r="E67" s="344">
        <f>'приложение 7.2'!AE94</f>
        <v>0</v>
      </c>
      <c r="F67" s="349">
        <v>2013</v>
      </c>
      <c r="G67" s="349">
        <v>2013</v>
      </c>
      <c r="H67" s="673" t="s">
        <v>541</v>
      </c>
      <c r="I67" s="673" t="s">
        <v>598</v>
      </c>
      <c r="J67" s="673" t="s">
        <v>541</v>
      </c>
      <c r="K67" s="673" t="s">
        <v>541</v>
      </c>
    </row>
    <row r="68" spans="1:11" s="829" customFormat="1" ht="87.75" customHeight="1">
      <c r="A68" s="822" t="s">
        <v>640</v>
      </c>
      <c r="B68" s="823" t="str">
        <f>'приложение 7.1'!B98</f>
        <v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v>
      </c>
      <c r="C68" s="823"/>
      <c r="D68" s="823"/>
      <c r="E68" s="823"/>
      <c r="F68" s="823"/>
      <c r="G68" s="823"/>
      <c r="H68" s="823"/>
      <c r="I68" s="823"/>
      <c r="J68" s="823"/>
      <c r="K68" s="823"/>
    </row>
    <row r="69" spans="1:11" ht="15.75">
      <c r="A69" s="278" t="s">
        <v>817</v>
      </c>
      <c r="B69" s="826" t="e">
        <f>'приложение 7.1'!#REF!</f>
        <v>#REF!</v>
      </c>
      <c r="C69" s="275"/>
      <c r="D69" s="275"/>
      <c r="E69" s="275"/>
      <c r="F69" s="275"/>
      <c r="G69" s="275"/>
      <c r="H69" s="275"/>
      <c r="I69" s="275"/>
      <c r="J69" s="275"/>
      <c r="K69" s="275"/>
    </row>
    <row r="70" spans="1:11" ht="37.5" customHeight="1">
      <c r="A70" s="19">
        <v>1</v>
      </c>
      <c r="B70" s="206" t="e">
        <f>'приложение 7.1'!#REF!</f>
        <v>#REF!</v>
      </c>
      <c r="C70" s="349" t="s">
        <v>598</v>
      </c>
      <c r="D70" s="349" t="s">
        <v>598</v>
      </c>
      <c r="E70" s="344" t="e">
        <f>'приложение 7.2'!#REF!</f>
        <v>#REF!</v>
      </c>
      <c r="F70" s="349">
        <v>2013</v>
      </c>
      <c r="G70" s="349">
        <v>2013</v>
      </c>
      <c r="H70" s="349" t="s">
        <v>541</v>
      </c>
      <c r="I70" s="673" t="s">
        <v>598</v>
      </c>
      <c r="J70" s="673" t="s">
        <v>598</v>
      </c>
      <c r="K70" s="673" t="s">
        <v>598</v>
      </c>
    </row>
    <row r="71" spans="1:11" s="829" customFormat="1" ht="33.75" customHeight="1">
      <c r="A71" s="279" t="s">
        <v>614</v>
      </c>
      <c r="B71" s="279" t="str">
        <f>'приложение 7.1'!B100</f>
        <v>Новое строительство</v>
      </c>
      <c r="C71" s="279"/>
      <c r="D71" s="279"/>
      <c r="E71" s="279"/>
      <c r="F71" s="279"/>
      <c r="G71" s="279"/>
      <c r="H71" s="279"/>
      <c r="I71" s="279"/>
      <c r="J71" s="279"/>
      <c r="K71" s="279"/>
    </row>
    <row r="72" spans="1:11" s="829" customFormat="1" ht="33.75" customHeight="1">
      <c r="A72" s="822" t="s">
        <v>616</v>
      </c>
      <c r="B72" s="823" t="str">
        <f>'приложение 7.1'!B101</f>
        <v>Прочее новое строительство</v>
      </c>
      <c r="C72" s="823"/>
      <c r="D72" s="823"/>
      <c r="E72" s="823"/>
      <c r="F72" s="823"/>
      <c r="G72" s="823"/>
      <c r="H72" s="823"/>
      <c r="I72" s="823"/>
      <c r="J72" s="823"/>
      <c r="K72" s="823"/>
    </row>
    <row r="73" spans="1:11" ht="15.75">
      <c r="A73" s="278" t="s">
        <v>681</v>
      </c>
      <c r="B73" s="826" t="str">
        <f>'приложение 7.1'!B102</f>
        <v>КЛ-6-10 кВ</v>
      </c>
      <c r="C73" s="275"/>
      <c r="D73" s="275"/>
      <c r="E73" s="275"/>
      <c r="F73" s="275"/>
      <c r="G73" s="275"/>
      <c r="H73" s="275"/>
      <c r="I73" s="275"/>
      <c r="J73" s="275"/>
      <c r="K73" s="275"/>
    </row>
    <row r="74" spans="1:11" ht="15.75">
      <c r="A74" s="19">
        <v>1</v>
      </c>
      <c r="B74" s="206" t="e">
        <f>'приложение 7.1'!#REF!</f>
        <v>#REF!</v>
      </c>
      <c r="C74" s="349" t="s">
        <v>598</v>
      </c>
      <c r="D74" s="349" t="s">
        <v>598</v>
      </c>
      <c r="E74" s="344" t="e">
        <f>'приложение 7.2'!#REF!</f>
        <v>#REF!</v>
      </c>
      <c r="F74" s="349">
        <v>2013</v>
      </c>
      <c r="G74" s="349">
        <v>2013</v>
      </c>
      <c r="H74" s="349" t="s">
        <v>541</v>
      </c>
      <c r="I74" s="673" t="s">
        <v>598</v>
      </c>
      <c r="J74" s="673" t="s">
        <v>598</v>
      </c>
      <c r="K74" s="673" t="s">
        <v>598</v>
      </c>
    </row>
    <row r="75" spans="1:11" ht="15.75">
      <c r="A75" s="278" t="s">
        <v>682</v>
      </c>
      <c r="B75" s="826" t="str">
        <f>'приложение 7.1'!B103</f>
        <v>РП-6-10 кВ</v>
      </c>
      <c r="C75" s="275"/>
      <c r="D75" s="275"/>
      <c r="E75" s="275"/>
      <c r="F75" s="275"/>
      <c r="G75" s="275"/>
      <c r="H75" s="275"/>
      <c r="I75" s="275"/>
      <c r="J75" s="275"/>
      <c r="K75" s="275"/>
    </row>
    <row r="76" spans="1:11" ht="42.75" customHeight="1">
      <c r="A76" s="19">
        <v>1</v>
      </c>
      <c r="B76" s="206" t="e">
        <f>'приложение 7.1'!#REF!</f>
        <v>#REF!</v>
      </c>
      <c r="C76" s="349" t="s">
        <v>598</v>
      </c>
      <c r="D76" s="349" t="s">
        <v>598</v>
      </c>
      <c r="E76" s="344" t="e">
        <f>'приложение 7.2'!#REF!</f>
        <v>#REF!</v>
      </c>
      <c r="F76" s="349">
        <v>2013</v>
      </c>
      <c r="G76" s="349">
        <v>2013</v>
      </c>
      <c r="H76" s="349" t="s">
        <v>541</v>
      </c>
      <c r="I76" s="673" t="s">
        <v>598</v>
      </c>
      <c r="J76" s="673" t="s">
        <v>541</v>
      </c>
      <c r="K76" s="673" t="s">
        <v>541</v>
      </c>
    </row>
    <row r="77" spans="1:11" ht="15.75">
      <c r="A77" s="19">
        <v>2</v>
      </c>
      <c r="B77" s="206" t="e">
        <f>'приложение 7.1'!#REF!</f>
        <v>#REF!</v>
      </c>
      <c r="C77" s="349" t="s">
        <v>598</v>
      </c>
      <c r="D77" s="349" t="s">
        <v>598</v>
      </c>
      <c r="E77" s="344" t="e">
        <f>'приложение 7.2'!#REF!</f>
        <v>#REF!</v>
      </c>
      <c r="F77" s="349">
        <v>2013</v>
      </c>
      <c r="G77" s="349">
        <v>2013</v>
      </c>
      <c r="H77" s="349" t="s">
        <v>541</v>
      </c>
      <c r="I77" s="673" t="s">
        <v>598</v>
      </c>
      <c r="J77" s="673" t="s">
        <v>541</v>
      </c>
      <c r="K77" s="673" t="s">
        <v>541</v>
      </c>
    </row>
    <row r="78" spans="1:11" ht="15.75">
      <c r="A78" s="19">
        <v>3</v>
      </c>
      <c r="B78" s="206" t="e">
        <f>'приложение 7.1'!#REF!</f>
        <v>#REF!</v>
      </c>
      <c r="C78" s="349" t="s">
        <v>598</v>
      </c>
      <c r="D78" s="349" t="s">
        <v>598</v>
      </c>
      <c r="E78" s="344" t="e">
        <f>'приложение 7.2'!#REF!</f>
        <v>#REF!</v>
      </c>
      <c r="F78" s="349">
        <v>2013</v>
      </c>
      <c r="G78" s="349">
        <v>2013</v>
      </c>
      <c r="H78" s="349" t="s">
        <v>541</v>
      </c>
      <c r="I78" s="673" t="s">
        <v>598</v>
      </c>
      <c r="J78" s="673" t="s">
        <v>541</v>
      </c>
      <c r="K78" s="673" t="s">
        <v>541</v>
      </c>
    </row>
    <row r="79" spans="1:11" ht="15.75">
      <c r="A79" s="19">
        <v>4</v>
      </c>
      <c r="B79" s="206" t="e">
        <f>'приложение 7.1'!#REF!</f>
        <v>#REF!</v>
      </c>
      <c r="C79" s="349" t="s">
        <v>598</v>
      </c>
      <c r="D79" s="349" t="s">
        <v>598</v>
      </c>
      <c r="E79" s="344"/>
      <c r="F79" s="349">
        <v>2013</v>
      </c>
      <c r="G79" s="349">
        <v>2013</v>
      </c>
      <c r="H79" s="349" t="s">
        <v>541</v>
      </c>
      <c r="I79" s="673" t="s">
        <v>598</v>
      </c>
      <c r="J79" s="673" t="s">
        <v>541</v>
      </c>
      <c r="K79" s="673" t="s">
        <v>541</v>
      </c>
    </row>
    <row r="80" spans="1:11" ht="15.75">
      <c r="A80" s="278" t="s">
        <v>819</v>
      </c>
      <c r="B80" s="826" t="str">
        <f>'приложение 7.1'!B104</f>
        <v>ТП-6-10/0.4 кВ</v>
      </c>
      <c r="C80" s="275"/>
      <c r="D80" s="275"/>
      <c r="E80" s="275"/>
      <c r="F80" s="275"/>
      <c r="G80" s="275"/>
      <c r="H80" s="275"/>
      <c r="I80" s="275"/>
      <c r="J80" s="275"/>
      <c r="K80" s="275"/>
    </row>
    <row r="81" spans="1:11" ht="49.5" customHeight="1">
      <c r="A81" s="19">
        <v>1</v>
      </c>
      <c r="B81" s="206" t="e">
        <f>'приложение 7.1'!#REF!</f>
        <v>#REF!</v>
      </c>
      <c r="C81" s="349" t="s">
        <v>598</v>
      </c>
      <c r="D81" s="349" t="s">
        <v>598</v>
      </c>
      <c r="E81" s="344"/>
      <c r="F81" s="349">
        <v>2013</v>
      </c>
      <c r="G81" s="349">
        <v>2013</v>
      </c>
      <c r="H81" s="349" t="s">
        <v>541</v>
      </c>
      <c r="I81" s="673" t="s">
        <v>598</v>
      </c>
      <c r="J81" s="673" t="s">
        <v>541</v>
      </c>
      <c r="K81" s="673" t="s">
        <v>541</v>
      </c>
    </row>
    <row r="82" spans="1:11" ht="34.5" customHeight="1">
      <c r="A82" s="19">
        <v>2</v>
      </c>
      <c r="B82" s="206" t="e">
        <f>'приложение 7.1'!#REF!</f>
        <v>#REF!</v>
      </c>
      <c r="C82" s="349" t="s">
        <v>598</v>
      </c>
      <c r="D82" s="349" t="s">
        <v>598</v>
      </c>
      <c r="E82" s="344" t="e">
        <f>'приложение 7.2'!#REF!</f>
        <v>#REF!</v>
      </c>
      <c r="F82" s="349">
        <v>2013</v>
      </c>
      <c r="G82" s="349">
        <v>2013</v>
      </c>
      <c r="H82" s="349" t="s">
        <v>541</v>
      </c>
      <c r="I82" s="673" t="s">
        <v>598</v>
      </c>
      <c r="J82" s="673" t="s">
        <v>541</v>
      </c>
      <c r="K82" s="673" t="s">
        <v>541</v>
      </c>
    </row>
    <row r="83" spans="1:11" s="829" customFormat="1" ht="87.75" customHeight="1">
      <c r="A83" s="822" t="s">
        <v>617</v>
      </c>
      <c r="B83" s="823" t="str">
        <f>'приложение 7.1'!B105</f>
        <v>Создание технической возможности технологического присоединения (усиление существующей электрической сети в связи с присоединением новых мощностей)</v>
      </c>
      <c r="C83" s="823"/>
      <c r="D83" s="823"/>
      <c r="E83" s="823"/>
      <c r="F83" s="823"/>
      <c r="G83" s="823"/>
      <c r="H83" s="823"/>
      <c r="I83" s="823"/>
      <c r="J83" s="823"/>
      <c r="K83" s="823"/>
    </row>
    <row r="84" spans="1:11" ht="15.75">
      <c r="A84" s="278" t="s">
        <v>805</v>
      </c>
      <c r="B84" s="826" t="str">
        <f>'приложение 7.1'!B106</f>
        <v>КЛ-6-10 кВ</v>
      </c>
      <c r="C84" s="275"/>
      <c r="D84" s="275"/>
      <c r="E84" s="275"/>
      <c r="F84" s="275"/>
      <c r="G84" s="275"/>
      <c r="H84" s="275"/>
      <c r="I84" s="275"/>
      <c r="J84" s="275"/>
      <c r="K84" s="275"/>
    </row>
    <row r="85" spans="1:11" ht="37.5" customHeight="1">
      <c r="A85" s="19">
        <v>1</v>
      </c>
      <c r="B85" s="206" t="str">
        <f>'приложение 7.1'!B108</f>
        <v> КЛ-6 кВ для электроснабжения 7-8 этажного ж/д по ул.Фучика</v>
      </c>
      <c r="C85" s="349" t="s">
        <v>598</v>
      </c>
      <c r="D85" s="349" t="s">
        <v>598</v>
      </c>
      <c r="E85" s="344" t="str">
        <f>'приложение 7.2'!AE107</f>
        <v>2х0,88км</v>
      </c>
      <c r="F85" s="349">
        <v>2013</v>
      </c>
      <c r="G85" s="349">
        <v>2013</v>
      </c>
      <c r="H85" s="349" t="s">
        <v>541</v>
      </c>
      <c r="I85" s="673" t="s">
        <v>598</v>
      </c>
      <c r="J85" s="673" t="s">
        <v>541</v>
      </c>
      <c r="K85" s="673" t="s">
        <v>541</v>
      </c>
    </row>
    <row r="86" spans="1:11" ht="49.5" customHeight="1">
      <c r="A86" s="19">
        <v>2</v>
      </c>
      <c r="B86" s="206" t="str">
        <f>'приложение 7.1'!B109</f>
        <v>Строительство КЛ-6 кВ от ГПП ХБК до нового РП в районе ТП-516 по ул. Гагарина,45а и от РП до ТП-111, г.Чебоксары (2 очередь)</v>
      </c>
      <c r="C86" s="349" t="s">
        <v>598</v>
      </c>
      <c r="D86" s="349" t="s">
        <v>598</v>
      </c>
      <c r="E86" s="344" t="str">
        <f>'приложение 7.2'!AE108</f>
        <v>4х0,967км</v>
      </c>
      <c r="F86" s="349">
        <v>2013</v>
      </c>
      <c r="G86" s="349">
        <v>2013</v>
      </c>
      <c r="H86" s="349" t="s">
        <v>541</v>
      </c>
      <c r="I86" s="673" t="s">
        <v>598</v>
      </c>
      <c r="J86" s="673" t="s">
        <v>541</v>
      </c>
      <c r="K86" s="673" t="s">
        <v>541</v>
      </c>
    </row>
    <row r="87" spans="1:11" ht="49.5" customHeight="1">
      <c r="A87" s="19">
        <v>3</v>
      </c>
      <c r="B87" s="206" t="str">
        <f>'приложение 7.1'!B110</f>
        <v>Строительство КЛ-6 кВ от ГПП ХБК до нового РП в районе ж/д 7/46 по ул. Гайдара и от РП до ТП-107, г.Чебоксары (1 очередь)</v>
      </c>
      <c r="C87" s="349" t="s">
        <v>598</v>
      </c>
      <c r="D87" s="349" t="s">
        <v>598</v>
      </c>
      <c r="E87" s="344" t="str">
        <f>'приложение 7.2'!AE109</f>
        <v>4х0,433км</v>
      </c>
      <c r="F87" s="349">
        <v>2013</v>
      </c>
      <c r="G87" s="349">
        <v>2013</v>
      </c>
      <c r="H87" s="349" t="s">
        <v>541</v>
      </c>
      <c r="I87" s="673" t="s">
        <v>598</v>
      </c>
      <c r="J87" s="673" t="s">
        <v>541</v>
      </c>
      <c r="K87" s="673" t="s">
        <v>541</v>
      </c>
    </row>
    <row r="88" spans="1:11" ht="49.5" customHeight="1">
      <c r="A88" s="19">
        <v>4</v>
      </c>
      <c r="B88" s="206" t="e">
        <f>'приложение 7.1'!#REF!</f>
        <v>#REF!</v>
      </c>
      <c r="C88" s="349" t="s">
        <v>598</v>
      </c>
      <c r="D88" s="349" t="s">
        <v>598</v>
      </c>
      <c r="E88" s="344" t="str">
        <f>'приложение 7.2'!AE110</f>
        <v>2х0,87км</v>
      </c>
      <c r="F88" s="349">
        <v>2013</v>
      </c>
      <c r="G88" s="349">
        <v>2013</v>
      </c>
      <c r="H88" s="349" t="s">
        <v>541</v>
      </c>
      <c r="I88" s="673" t="s">
        <v>598</v>
      </c>
      <c r="J88" s="673" t="s">
        <v>541</v>
      </c>
      <c r="K88" s="673" t="s">
        <v>541</v>
      </c>
    </row>
    <row r="89" spans="1:11" ht="49.5" customHeight="1">
      <c r="A89" s="19">
        <v>5</v>
      </c>
      <c r="B89" s="206" t="str">
        <f>'приложение 7.1'!B112</f>
        <v>Строительство КЛ-10 кВ от ПС "Новый город" до РП-3 в жилом районе "Новый город", г.Чебоксары</v>
      </c>
      <c r="C89" s="349" t="s">
        <v>598</v>
      </c>
      <c r="D89" s="349" t="s">
        <v>598</v>
      </c>
      <c r="E89" s="344" t="str">
        <f>'приложение 7.2'!AE111</f>
        <v>2х1,52 км</v>
      </c>
      <c r="F89" s="349">
        <v>2013</v>
      </c>
      <c r="G89" s="349">
        <v>2013</v>
      </c>
      <c r="H89" s="349" t="s">
        <v>541</v>
      </c>
      <c r="I89" s="673" t="s">
        <v>598</v>
      </c>
      <c r="J89" s="673" t="s">
        <v>541</v>
      </c>
      <c r="K89" s="673" t="s">
        <v>541</v>
      </c>
    </row>
    <row r="90" spans="1:11" ht="31.5">
      <c r="A90" s="279" t="s">
        <v>80</v>
      </c>
      <c r="B90" s="214" t="s">
        <v>564</v>
      </c>
      <c r="C90" s="214"/>
      <c r="D90" s="214"/>
      <c r="E90" s="214"/>
      <c r="F90" s="214"/>
      <c r="G90" s="214"/>
      <c r="H90" s="214"/>
      <c r="I90" s="214"/>
      <c r="J90" s="214"/>
      <c r="K90" s="214"/>
    </row>
    <row r="91" spans="1:11" ht="31.5">
      <c r="A91" s="19">
        <v>1</v>
      </c>
      <c r="B91" s="209" t="s">
        <v>704</v>
      </c>
      <c r="C91" s="349" t="s">
        <v>598</v>
      </c>
      <c r="D91" s="349" t="s">
        <v>598</v>
      </c>
      <c r="E91" s="349" t="s">
        <v>598</v>
      </c>
      <c r="F91" s="349">
        <v>2013</v>
      </c>
      <c r="G91" s="349">
        <v>2013</v>
      </c>
      <c r="H91" s="673" t="s">
        <v>598</v>
      </c>
      <c r="I91" s="673" t="s">
        <v>598</v>
      </c>
      <c r="J91" s="673" t="s">
        <v>598</v>
      </c>
      <c r="K91" s="673" t="s">
        <v>598</v>
      </c>
    </row>
  </sheetData>
  <sheetProtection/>
  <mergeCells count="16">
    <mergeCell ref="A6:K6"/>
    <mergeCell ref="A14:A16"/>
    <mergeCell ref="B14:B16"/>
    <mergeCell ref="C14:E14"/>
    <mergeCell ref="F14:G14"/>
    <mergeCell ref="I10:K10"/>
    <mergeCell ref="H14:K14"/>
    <mergeCell ref="C15:C16"/>
    <mergeCell ref="D15:D16"/>
    <mergeCell ref="E15:E16"/>
    <mergeCell ref="F15:F16"/>
    <mergeCell ref="K15:K16"/>
    <mergeCell ref="G15:G16"/>
    <mergeCell ref="H15:H16"/>
    <mergeCell ref="I15:I16"/>
    <mergeCell ref="J15:J16"/>
  </mergeCells>
  <printOptions/>
  <pageMargins left="0.5118110236220472" right="0" top="0.35433070866141736" bottom="0.15748031496062992" header="0" footer="0"/>
  <pageSetup fitToHeight="4" fitToWidth="1" horizontalDpi="600" verticalDpi="600" orientation="portrait" paperSize="9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174"/>
  <sheetViews>
    <sheetView view="pageBreakPreview" zoomScale="85" zoomScaleNormal="70" zoomScaleSheetLayoutView="85" zoomScalePageLayoutView="0" workbookViewId="0" topLeftCell="A13">
      <selection activeCell="I16" sqref="I16:I18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1.125" style="1" customWidth="1"/>
    <col min="4" max="4" width="9.25390625" style="1" bestFit="1" customWidth="1"/>
    <col min="5" max="5" width="8.125" style="1" customWidth="1"/>
    <col min="6" max="6" width="9.00390625" style="1" customWidth="1"/>
    <col min="7" max="7" width="9.50390625" style="1" customWidth="1"/>
    <col min="8" max="8" width="7.875" style="1" customWidth="1"/>
    <col min="9" max="9" width="13.75390625" style="1" customWidth="1"/>
    <col min="10" max="10" width="9.00390625" style="1" customWidth="1"/>
    <col min="11" max="11" width="11.125" style="1" customWidth="1"/>
    <col min="12" max="12" width="10.625" style="1" customWidth="1"/>
    <col min="13" max="16384" width="9.00390625" style="1" customWidth="1"/>
  </cols>
  <sheetData>
    <row r="1" ht="15.75">
      <c r="I1" s="177" t="s">
        <v>520</v>
      </c>
    </row>
    <row r="2" ht="15.75">
      <c r="I2" s="177" t="s">
        <v>292</v>
      </c>
    </row>
    <row r="3" ht="15.75">
      <c r="I3" s="177" t="s">
        <v>301</v>
      </c>
    </row>
    <row r="4" ht="15.75">
      <c r="I4" s="177"/>
    </row>
    <row r="5" spans="1:12" ht="57.75" customHeight="1">
      <c r="A5" s="976" t="s">
        <v>49</v>
      </c>
      <c r="B5" s="976"/>
      <c r="C5" s="976"/>
      <c r="D5" s="976"/>
      <c r="E5" s="976"/>
      <c r="F5" s="976"/>
      <c r="G5" s="976"/>
      <c r="H5" s="976"/>
      <c r="I5" s="976"/>
      <c r="J5" s="589"/>
      <c r="K5" s="589"/>
      <c r="L5" s="589"/>
    </row>
    <row r="7" spans="1:12" ht="15.75">
      <c r="A7" s="511"/>
      <c r="B7" s="512"/>
      <c r="I7" s="4" t="s">
        <v>293</v>
      </c>
      <c r="L7" s="4"/>
    </row>
    <row r="8" spans="1:12" ht="15.75">
      <c r="A8" s="929"/>
      <c r="B8" s="929"/>
      <c r="I8" s="4" t="s">
        <v>568</v>
      </c>
      <c r="L8" s="4"/>
    </row>
    <row r="9" spans="1:12" ht="15.75">
      <c r="A9" s="511"/>
      <c r="B9" s="512"/>
      <c r="I9" s="4" t="s">
        <v>569</v>
      </c>
      <c r="L9" s="4"/>
    </row>
    <row r="10" spans="1:12" ht="25.5" customHeight="1">
      <c r="A10" s="511"/>
      <c r="B10" s="512"/>
      <c r="I10" s="309" t="s">
        <v>47</v>
      </c>
      <c r="L10" s="316"/>
    </row>
    <row r="11" spans="1:12" ht="23.25" customHeight="1">
      <c r="A11" s="511"/>
      <c r="B11" s="512"/>
      <c r="I11" s="307" t="s">
        <v>795</v>
      </c>
      <c r="L11" s="307"/>
    </row>
    <row r="12" spans="1:12" ht="24" customHeight="1">
      <c r="A12" s="511"/>
      <c r="B12" s="592"/>
      <c r="I12" s="4" t="s">
        <v>294</v>
      </c>
      <c r="L12" s="4"/>
    </row>
    <row r="13" ht="15.75">
      <c r="I13" s="4"/>
    </row>
    <row r="14" spans="1:12" ht="45.75" customHeight="1">
      <c r="A14" s="1086" t="s">
        <v>371</v>
      </c>
      <c r="B14" s="1086"/>
      <c r="C14" s="1086"/>
      <c r="D14" s="1086"/>
      <c r="E14" s="1086"/>
      <c r="F14" s="1086"/>
      <c r="G14" s="1086"/>
      <c r="H14" s="1086"/>
      <c r="I14" s="1086"/>
      <c r="J14" s="590"/>
      <c r="K14" s="590"/>
      <c r="L14" s="590"/>
    </row>
    <row r="15" ht="16.5" thickBot="1">
      <c r="I15" s="4"/>
    </row>
    <row r="16" spans="1:9" ht="126" customHeight="1">
      <c r="A16" s="994" t="s">
        <v>624</v>
      </c>
      <c r="B16" s="964" t="s">
        <v>647</v>
      </c>
      <c r="C16" s="964" t="s">
        <v>380</v>
      </c>
      <c r="D16" s="964" t="s">
        <v>51</v>
      </c>
      <c r="E16" s="964"/>
      <c r="F16" s="964"/>
      <c r="G16" s="964"/>
      <c r="H16" s="964"/>
      <c r="I16" s="969" t="s">
        <v>381</v>
      </c>
    </row>
    <row r="17" spans="1:9" ht="38.25" customHeight="1">
      <c r="A17" s="995"/>
      <c r="B17" s="965"/>
      <c r="C17" s="965"/>
      <c r="D17" s="222" t="s">
        <v>513</v>
      </c>
      <c r="E17" s="222" t="s">
        <v>628</v>
      </c>
      <c r="F17" s="222" t="s">
        <v>629</v>
      </c>
      <c r="G17" s="222" t="s">
        <v>630</v>
      </c>
      <c r="H17" s="222" t="s">
        <v>631</v>
      </c>
      <c r="I17" s="970"/>
    </row>
    <row r="18" spans="1:9" ht="81.75" customHeight="1" thickBot="1">
      <c r="A18" s="1109"/>
      <c r="B18" s="1110"/>
      <c r="C18" s="1110"/>
      <c r="D18" s="355" t="s">
        <v>190</v>
      </c>
      <c r="E18" s="355" t="s">
        <v>632</v>
      </c>
      <c r="F18" s="355" t="s">
        <v>632</v>
      </c>
      <c r="G18" s="355" t="s">
        <v>632</v>
      </c>
      <c r="H18" s="355" t="s">
        <v>632</v>
      </c>
      <c r="I18" s="1113"/>
    </row>
    <row r="19" spans="1:9" ht="15.75">
      <c r="A19" s="333"/>
      <c r="B19" s="328" t="s">
        <v>648</v>
      </c>
      <c r="C19" s="328"/>
      <c r="D19" s="356">
        <f>SUM(D20,D58,D67,D68,D69,D70,D71,D72,D73,D74)</f>
        <v>165.8795502</v>
      </c>
      <c r="E19" s="356">
        <v>39.842</v>
      </c>
      <c r="F19" s="356">
        <v>39.842</v>
      </c>
      <c r="G19" s="356">
        <v>39.842</v>
      </c>
      <c r="H19" s="356">
        <v>39.842</v>
      </c>
      <c r="I19" s="319"/>
    </row>
    <row r="20" spans="1:9" ht="31.5">
      <c r="A20" s="279" t="s">
        <v>611</v>
      </c>
      <c r="B20" s="214" t="s">
        <v>181</v>
      </c>
      <c r="C20" s="214"/>
      <c r="D20" s="305">
        <f>SUM(D21,D48)</f>
        <v>113.3008034</v>
      </c>
      <c r="E20" s="305">
        <v>26.729145239999994</v>
      </c>
      <c r="F20" s="305">
        <v>26.729145239999994</v>
      </c>
      <c r="G20" s="305">
        <v>26.729145239999994</v>
      </c>
      <c r="H20" s="305">
        <v>26.729145239999994</v>
      </c>
      <c r="I20" s="6"/>
    </row>
    <row r="21" spans="1:9" ht="31.5">
      <c r="A21" s="278" t="s">
        <v>612</v>
      </c>
      <c r="B21" s="275" t="s">
        <v>179</v>
      </c>
      <c r="C21" s="275"/>
      <c r="D21" s="306">
        <f>SUM(D22:D47)</f>
        <v>53.55146800000001</v>
      </c>
      <c r="E21" s="306">
        <f>SUM(E22:E47)</f>
        <v>13.779249999999998</v>
      </c>
      <c r="F21" s="306">
        <f>SUM(F22:F47)</f>
        <v>13.779249999999998</v>
      </c>
      <c r="G21" s="306">
        <f>SUM(G22:G47)</f>
        <v>13.779249999999998</v>
      </c>
      <c r="H21" s="306">
        <f>SUM(H22:H47)</f>
        <v>13.779249999999998</v>
      </c>
      <c r="I21" s="6"/>
    </row>
    <row r="22" spans="1:9" ht="31.5">
      <c r="A22" s="19">
        <v>1</v>
      </c>
      <c r="B22" s="5" t="s">
        <v>579</v>
      </c>
      <c r="C22" s="5"/>
      <c r="D22" s="242">
        <f>836/1000*1.18</f>
        <v>0.9864799999999999</v>
      </c>
      <c r="E22" s="242">
        <v>0.2465</v>
      </c>
      <c r="F22" s="242">
        <v>0.2465</v>
      </c>
      <c r="G22" s="242">
        <v>0.2465</v>
      </c>
      <c r="H22" s="242">
        <v>0.2465</v>
      </c>
      <c r="I22" s="6"/>
    </row>
    <row r="23" spans="1:9" ht="31.5">
      <c r="A23" s="19">
        <v>2</v>
      </c>
      <c r="B23" s="5" t="s">
        <v>666</v>
      </c>
      <c r="C23" s="5"/>
      <c r="D23" s="242">
        <f>1743.79/1000*1.18</f>
        <v>2.0576722</v>
      </c>
      <c r="E23" s="242">
        <v>0.5145</v>
      </c>
      <c r="F23" s="242">
        <v>0.5145</v>
      </c>
      <c r="G23" s="242">
        <v>0.5145</v>
      </c>
      <c r="H23" s="242">
        <v>0.5145</v>
      </c>
      <c r="I23" s="6"/>
    </row>
    <row r="24" spans="1:9" ht="31.5">
      <c r="A24" s="19">
        <v>3</v>
      </c>
      <c r="B24" s="5" t="s">
        <v>580</v>
      </c>
      <c r="C24" s="12"/>
      <c r="D24" s="242">
        <f>1943.69/1000*1.18</f>
        <v>2.2935542</v>
      </c>
      <c r="E24" s="242">
        <v>0.5735</v>
      </c>
      <c r="F24" s="242">
        <v>0.5735</v>
      </c>
      <c r="G24" s="242">
        <v>0.5735</v>
      </c>
      <c r="H24" s="242">
        <v>0.5735</v>
      </c>
      <c r="I24" s="76"/>
    </row>
    <row r="25" spans="1:9" ht="31.5">
      <c r="A25" s="19">
        <v>4</v>
      </c>
      <c r="B25" s="5" t="s">
        <v>581</v>
      </c>
      <c r="C25" s="78"/>
      <c r="D25" s="242">
        <f>1752.9/1000*1.18</f>
        <v>2.068422</v>
      </c>
      <c r="E25" s="242">
        <v>0.517</v>
      </c>
      <c r="F25" s="242">
        <v>0.517</v>
      </c>
      <c r="G25" s="242">
        <v>0.517</v>
      </c>
      <c r="H25" s="242">
        <v>0.517</v>
      </c>
      <c r="I25" s="76"/>
    </row>
    <row r="26" spans="1:9" ht="31.5">
      <c r="A26" s="19">
        <v>5</v>
      </c>
      <c r="B26" s="5" t="s">
        <v>582</v>
      </c>
      <c r="C26" s="12"/>
      <c r="D26" s="242">
        <f>1876.67/1000*1.18</f>
        <v>2.2144706</v>
      </c>
      <c r="E26" s="242">
        <v>0.5535</v>
      </c>
      <c r="F26" s="242">
        <v>0.5535</v>
      </c>
      <c r="G26" s="242">
        <v>0.5535</v>
      </c>
      <c r="H26" s="242">
        <v>0.5535</v>
      </c>
      <c r="I26" s="76"/>
    </row>
    <row r="27" spans="1:9" ht="31.5">
      <c r="A27" s="19">
        <v>6</v>
      </c>
      <c r="B27" s="5" t="s">
        <v>583</v>
      </c>
      <c r="C27" s="12"/>
      <c r="D27" s="242">
        <f>650.56/1000*1.18</f>
        <v>0.7676607999999998</v>
      </c>
      <c r="E27" s="242">
        <v>0.192</v>
      </c>
      <c r="F27" s="242">
        <v>0.192</v>
      </c>
      <c r="G27" s="242">
        <v>0.192</v>
      </c>
      <c r="H27" s="242">
        <v>0.192</v>
      </c>
      <c r="I27" s="76"/>
    </row>
    <row r="28" spans="1:9" ht="31.5">
      <c r="A28" s="19">
        <v>7</v>
      </c>
      <c r="B28" s="5" t="s">
        <v>584</v>
      </c>
      <c r="C28" s="12"/>
      <c r="D28" s="242">
        <f>608.07/1000*1.18</f>
        <v>0.7175226</v>
      </c>
      <c r="E28" s="242">
        <v>0.1795</v>
      </c>
      <c r="F28" s="242">
        <v>0.1795</v>
      </c>
      <c r="G28" s="242">
        <v>0.1795</v>
      </c>
      <c r="H28" s="242">
        <v>0.1795</v>
      </c>
      <c r="I28" s="76"/>
    </row>
    <row r="29" spans="1:9" ht="31.5">
      <c r="A29" s="19">
        <v>8</v>
      </c>
      <c r="B29" s="5" t="s">
        <v>585</v>
      </c>
      <c r="C29" s="78"/>
      <c r="D29" s="242">
        <f>1367.53/1000*1.18</f>
        <v>1.6136853999999998</v>
      </c>
      <c r="E29" s="242">
        <v>0.4035</v>
      </c>
      <c r="F29" s="242">
        <v>0.4035</v>
      </c>
      <c r="G29" s="242">
        <v>0.4035</v>
      </c>
      <c r="H29" s="242">
        <v>0.4035</v>
      </c>
      <c r="I29" s="76"/>
    </row>
    <row r="30" spans="1:9" ht="31.5">
      <c r="A30" s="19">
        <v>9</v>
      </c>
      <c r="B30" s="5" t="s">
        <v>586</v>
      </c>
      <c r="C30" s="12"/>
      <c r="D30" s="242">
        <f>10340.95/1000*1.18</f>
        <v>12.202321000000001</v>
      </c>
      <c r="E30" s="242">
        <v>3.0505</v>
      </c>
      <c r="F30" s="242">
        <v>3.0505</v>
      </c>
      <c r="G30" s="242">
        <v>3.0505</v>
      </c>
      <c r="H30" s="242">
        <v>3.0505</v>
      </c>
      <c r="I30" s="76"/>
    </row>
    <row r="31" spans="1:9" ht="31.5">
      <c r="A31" s="6">
        <v>10</v>
      </c>
      <c r="B31" s="5" t="s">
        <v>587</v>
      </c>
      <c r="C31" s="5"/>
      <c r="D31" s="242">
        <f>4389.36/1000*1.18</f>
        <v>5.1794448</v>
      </c>
      <c r="E31" s="242">
        <v>1.29475</v>
      </c>
      <c r="F31" s="242">
        <v>1.29475</v>
      </c>
      <c r="G31" s="242">
        <v>1.29475</v>
      </c>
      <c r="H31" s="242">
        <v>1.29475</v>
      </c>
      <c r="I31" s="6"/>
    </row>
    <row r="32" spans="1:9" ht="31.5">
      <c r="A32" s="6">
        <v>11</v>
      </c>
      <c r="B32" s="5" t="s">
        <v>667</v>
      </c>
      <c r="C32" s="5"/>
      <c r="D32" s="242">
        <v>0</v>
      </c>
      <c r="E32" s="242">
        <v>0</v>
      </c>
      <c r="F32" s="242">
        <v>0</v>
      </c>
      <c r="G32" s="242">
        <v>0</v>
      </c>
      <c r="H32" s="242">
        <v>0</v>
      </c>
      <c r="I32" s="6"/>
    </row>
    <row r="33" spans="1:9" ht="31.5">
      <c r="A33" s="6">
        <v>12</v>
      </c>
      <c r="B33" s="5" t="s">
        <v>588</v>
      </c>
      <c r="C33" s="5"/>
      <c r="D33" s="242">
        <f>5189.38/1000*1.18</f>
        <v>6.123468399999999</v>
      </c>
      <c r="E33" s="242">
        <v>1.53075</v>
      </c>
      <c r="F33" s="242">
        <v>1.53075</v>
      </c>
      <c r="G33" s="242">
        <v>1.53075</v>
      </c>
      <c r="H33" s="242">
        <v>1.53075</v>
      </c>
      <c r="I33" s="6"/>
    </row>
    <row r="34" spans="1:9" ht="31.5">
      <c r="A34" s="6">
        <v>13</v>
      </c>
      <c r="B34" s="5" t="s">
        <v>589</v>
      </c>
      <c r="C34" s="5"/>
      <c r="D34" s="242">
        <f>77.22/1000*1.18</f>
        <v>0.0911196</v>
      </c>
      <c r="E34" s="242">
        <v>0.02275</v>
      </c>
      <c r="F34" s="242">
        <v>0.02275</v>
      </c>
      <c r="G34" s="242">
        <v>0.02275</v>
      </c>
      <c r="H34" s="242">
        <v>0.02275</v>
      </c>
      <c r="I34" s="6"/>
    </row>
    <row r="35" spans="1:9" ht="31.5">
      <c r="A35" s="6">
        <v>14</v>
      </c>
      <c r="B35" s="5" t="s">
        <v>668</v>
      </c>
      <c r="C35" s="5"/>
      <c r="D35" s="242">
        <f>7834.73/1000*1.18</f>
        <v>9.244981399999999</v>
      </c>
      <c r="E35" s="242">
        <v>2.31125</v>
      </c>
      <c r="F35" s="242">
        <v>2.31125</v>
      </c>
      <c r="G35" s="242">
        <v>2.31125</v>
      </c>
      <c r="H35" s="242">
        <v>2.31125</v>
      </c>
      <c r="I35" s="6"/>
    </row>
    <row r="36" spans="1:9" ht="31.5">
      <c r="A36" s="6">
        <v>15</v>
      </c>
      <c r="B36" s="5" t="s">
        <v>590</v>
      </c>
      <c r="C36" s="5"/>
      <c r="D36" s="242">
        <f>539.41/1000*1.18</f>
        <v>0.6365038</v>
      </c>
      <c r="E36" s="242">
        <v>0.15925</v>
      </c>
      <c r="F36" s="242">
        <v>0.15925</v>
      </c>
      <c r="G36" s="242">
        <v>0.15925</v>
      </c>
      <c r="H36" s="242">
        <v>0.15925</v>
      </c>
      <c r="I36" s="6"/>
    </row>
    <row r="37" spans="1:9" ht="31.5">
      <c r="A37" s="19">
        <v>16</v>
      </c>
      <c r="B37" s="5" t="s">
        <v>599</v>
      </c>
      <c r="C37" s="27"/>
      <c r="D37" s="242">
        <f>12.88/1000*1.18</f>
        <v>0.0151984</v>
      </c>
      <c r="E37" s="242">
        <v>0.00375</v>
      </c>
      <c r="F37" s="242">
        <v>0.00375</v>
      </c>
      <c r="G37" s="242">
        <v>0.00375</v>
      </c>
      <c r="H37" s="242">
        <v>0.00375</v>
      </c>
      <c r="I37" s="6"/>
    </row>
    <row r="38" spans="1:9" ht="31.5">
      <c r="A38" s="19">
        <v>17</v>
      </c>
      <c r="B38" s="5" t="s">
        <v>669</v>
      </c>
      <c r="C38" s="27"/>
      <c r="D38" s="242">
        <f>50.34/1000*1.18</f>
        <v>0.0594012</v>
      </c>
      <c r="E38" s="242">
        <v>0.01475</v>
      </c>
      <c r="F38" s="242">
        <v>0.01475</v>
      </c>
      <c r="G38" s="242">
        <v>0.01475</v>
      </c>
      <c r="H38" s="242">
        <v>0.01475</v>
      </c>
      <c r="I38" s="6"/>
    </row>
    <row r="39" spans="1:9" ht="47.25">
      <c r="A39" s="19">
        <v>18</v>
      </c>
      <c r="B39" s="5" t="s">
        <v>670</v>
      </c>
      <c r="C39" s="27"/>
      <c r="D39" s="242">
        <f>3547.93/1000*1.18</f>
        <v>4.1865574</v>
      </c>
      <c r="E39" s="242">
        <v>1.04675</v>
      </c>
      <c r="F39" s="242">
        <v>1.04675</v>
      </c>
      <c r="G39" s="242">
        <v>1.04675</v>
      </c>
      <c r="H39" s="242">
        <v>1.04675</v>
      </c>
      <c r="I39" s="6"/>
    </row>
    <row r="40" spans="1:9" ht="15.75">
      <c r="A40" s="19">
        <v>19</v>
      </c>
      <c r="B40" s="5" t="s">
        <v>671</v>
      </c>
      <c r="C40" s="27"/>
      <c r="D40" s="242">
        <f>211/1000*1.18</f>
        <v>0.24897999999999998</v>
      </c>
      <c r="E40" s="242">
        <v>0.06225</v>
      </c>
      <c r="F40" s="242">
        <v>0.06225</v>
      </c>
      <c r="G40" s="242">
        <v>0.06225</v>
      </c>
      <c r="H40" s="242">
        <v>0.06225</v>
      </c>
      <c r="I40" s="6"/>
    </row>
    <row r="41" spans="1:9" ht="31.5">
      <c r="A41" s="19">
        <v>20</v>
      </c>
      <c r="B41" s="5" t="s">
        <v>591</v>
      </c>
      <c r="C41" s="27"/>
      <c r="D41" s="242">
        <f>81.53/1000*1.18</f>
        <v>0.0962054</v>
      </c>
      <c r="E41" s="242">
        <v>0.024</v>
      </c>
      <c r="F41" s="242">
        <v>0.024</v>
      </c>
      <c r="G41" s="242">
        <v>0.024</v>
      </c>
      <c r="H41" s="242">
        <v>0.024</v>
      </c>
      <c r="I41" s="6"/>
    </row>
    <row r="42" spans="1:9" ht="31.5">
      <c r="A42" s="19">
        <v>21</v>
      </c>
      <c r="B42" s="5" t="s">
        <v>672</v>
      </c>
      <c r="C42" s="27"/>
      <c r="D42" s="242">
        <f>147.88/1000*1.18</f>
        <v>0.17449839999999997</v>
      </c>
      <c r="E42" s="242">
        <v>0.435</v>
      </c>
      <c r="F42" s="242">
        <v>0.435</v>
      </c>
      <c r="G42" s="242">
        <v>0.435</v>
      </c>
      <c r="H42" s="242">
        <v>0.435</v>
      </c>
      <c r="I42" s="6"/>
    </row>
    <row r="43" spans="1:9" ht="31.5">
      <c r="A43" s="19">
        <v>22</v>
      </c>
      <c r="B43" s="5" t="s">
        <v>0</v>
      </c>
      <c r="C43" s="27"/>
      <c r="D43" s="242">
        <f>421.11/1000*1.18</f>
        <v>0.4969098</v>
      </c>
      <c r="E43" s="242">
        <v>0.12425</v>
      </c>
      <c r="F43" s="242">
        <v>0.12425</v>
      </c>
      <c r="G43" s="242">
        <v>0.12425</v>
      </c>
      <c r="H43" s="242">
        <v>0.12425</v>
      </c>
      <c r="I43" s="6"/>
    </row>
    <row r="44" spans="1:9" ht="15.75">
      <c r="A44" s="19">
        <v>23</v>
      </c>
      <c r="B44" s="5" t="s">
        <v>1</v>
      </c>
      <c r="C44" s="27"/>
      <c r="D44" s="242">
        <f>340.37/1000*1.18</f>
        <v>0.4016366</v>
      </c>
      <c r="E44" s="242">
        <v>0.1005</v>
      </c>
      <c r="F44" s="242">
        <v>0.1005</v>
      </c>
      <c r="G44" s="242">
        <v>0.1005</v>
      </c>
      <c r="H44" s="242">
        <v>0.1005</v>
      </c>
      <c r="I44" s="6"/>
    </row>
    <row r="45" spans="1:9" ht="15.75">
      <c r="A45" s="19">
        <v>24</v>
      </c>
      <c r="B45" s="5" t="s">
        <v>2</v>
      </c>
      <c r="C45" s="27"/>
      <c r="D45" s="242">
        <f>246.04/1000*1.18</f>
        <v>0.29032719999999995</v>
      </c>
      <c r="E45" s="242">
        <v>0.0725</v>
      </c>
      <c r="F45" s="242">
        <v>0.0725</v>
      </c>
      <c r="G45" s="242">
        <v>0.0725</v>
      </c>
      <c r="H45" s="242">
        <v>0.0725</v>
      </c>
      <c r="I45" s="6"/>
    </row>
    <row r="46" spans="1:9" ht="15.75">
      <c r="A46" s="19">
        <v>25</v>
      </c>
      <c r="B46" s="5" t="s">
        <v>3</v>
      </c>
      <c r="C46" s="5"/>
      <c r="D46" s="242">
        <f>793.75/1000*1.18</f>
        <v>0.9366249999999999</v>
      </c>
      <c r="E46" s="242">
        <v>0.23425</v>
      </c>
      <c r="F46" s="242">
        <v>0.23425</v>
      </c>
      <c r="G46" s="242">
        <v>0.23425</v>
      </c>
      <c r="H46" s="242">
        <v>0.23425</v>
      </c>
      <c r="I46" s="6"/>
    </row>
    <row r="47" spans="1:9" ht="31.5">
      <c r="A47" s="19">
        <v>26</v>
      </c>
      <c r="B47" s="5" t="s">
        <v>592</v>
      </c>
      <c r="C47" s="6"/>
      <c r="D47" s="242">
        <f>379.51/1000*1.18</f>
        <v>0.4478218</v>
      </c>
      <c r="E47" s="242">
        <v>0.112</v>
      </c>
      <c r="F47" s="242">
        <v>0.112</v>
      </c>
      <c r="G47" s="242">
        <v>0.112</v>
      </c>
      <c r="H47" s="242">
        <v>0.112</v>
      </c>
      <c r="I47" s="6"/>
    </row>
    <row r="48" spans="1:9" ht="15.75">
      <c r="A48" s="275" t="s">
        <v>623</v>
      </c>
      <c r="B48" s="275" t="s">
        <v>180</v>
      </c>
      <c r="C48" s="275"/>
      <c r="D48" s="306">
        <f>SUM(D49:D57)</f>
        <v>59.7493354</v>
      </c>
      <c r="E48" s="306">
        <f>SUM(E49:E55)</f>
        <v>14.9371671</v>
      </c>
      <c r="F48" s="306">
        <f>SUM(F49:F55)</f>
        <v>14.9371671</v>
      </c>
      <c r="G48" s="306">
        <f>SUM(G49:G55)</f>
        <v>14.9371671</v>
      </c>
      <c r="H48" s="306">
        <f>SUM(H49:H55)</f>
        <v>14.9371671</v>
      </c>
      <c r="I48" s="15"/>
    </row>
    <row r="49" spans="1:9" ht="15.75">
      <c r="A49" s="6">
        <v>1</v>
      </c>
      <c r="B49" s="5" t="s">
        <v>593</v>
      </c>
      <c r="C49" s="15"/>
      <c r="D49" s="242">
        <f>24862.98/1000*1.18</f>
        <v>29.3383164</v>
      </c>
      <c r="E49" s="242">
        <v>7.3345</v>
      </c>
      <c r="F49" s="242">
        <v>7.3345</v>
      </c>
      <c r="G49" s="242">
        <v>7.3345</v>
      </c>
      <c r="H49" s="242">
        <v>7.3345</v>
      </c>
      <c r="I49" s="15"/>
    </row>
    <row r="50" spans="1:9" ht="15.75">
      <c r="A50" s="6">
        <v>2</v>
      </c>
      <c r="B50" s="5" t="s">
        <v>4</v>
      </c>
      <c r="C50" s="15"/>
      <c r="D50" s="242">
        <f>9579.38/1000*1.18</f>
        <v>11.303668399999998</v>
      </c>
      <c r="E50" s="242">
        <f>D50/4</f>
        <v>2.8259170999999994</v>
      </c>
      <c r="F50" s="242">
        <f>D50/4</f>
        <v>2.8259170999999994</v>
      </c>
      <c r="G50" s="242">
        <f>D50/4</f>
        <v>2.8259170999999994</v>
      </c>
      <c r="H50" s="242">
        <f>D50/4</f>
        <v>2.8259170999999994</v>
      </c>
      <c r="I50" s="15"/>
    </row>
    <row r="51" spans="1:9" ht="15.75">
      <c r="A51" s="6">
        <v>3</v>
      </c>
      <c r="B51" s="5" t="s">
        <v>5</v>
      </c>
      <c r="C51" s="15"/>
      <c r="D51" s="242">
        <f>914.36/1000*1.18</f>
        <v>1.0789448</v>
      </c>
      <c r="E51" s="242">
        <v>0.26975</v>
      </c>
      <c r="F51" s="242">
        <v>0.26975</v>
      </c>
      <c r="G51" s="242">
        <v>0.26975</v>
      </c>
      <c r="H51" s="242">
        <v>0.26975</v>
      </c>
      <c r="I51" s="15"/>
    </row>
    <row r="52" spans="1:9" ht="15.75">
      <c r="A52" s="6">
        <v>4</v>
      </c>
      <c r="B52" s="5" t="s">
        <v>6</v>
      </c>
      <c r="C52" s="15"/>
      <c r="D52" s="242">
        <f>3639.16/1000*1.18</f>
        <v>4.2942088</v>
      </c>
      <c r="E52" s="242">
        <v>1.0735</v>
      </c>
      <c r="F52" s="242">
        <v>1.0735</v>
      </c>
      <c r="G52" s="242">
        <v>1.0735</v>
      </c>
      <c r="H52" s="242">
        <v>1.0735</v>
      </c>
      <c r="I52" s="15"/>
    </row>
    <row r="53" spans="1:9" ht="15.75">
      <c r="A53" s="6">
        <v>5</v>
      </c>
      <c r="B53" s="5" t="s">
        <v>594</v>
      </c>
      <c r="C53" s="15"/>
      <c r="D53" s="242">
        <f>3732.07/1000*1.18</f>
        <v>4.4038426</v>
      </c>
      <c r="E53" s="242">
        <v>1.101</v>
      </c>
      <c r="F53" s="242">
        <v>1.101</v>
      </c>
      <c r="G53" s="242">
        <v>1.101</v>
      </c>
      <c r="H53" s="242">
        <v>1.101</v>
      </c>
      <c r="I53" s="15"/>
    </row>
    <row r="54" spans="1:9" ht="31.5">
      <c r="A54" s="6">
        <v>6</v>
      </c>
      <c r="B54" s="5" t="s">
        <v>7</v>
      </c>
      <c r="C54" s="15"/>
      <c r="D54" s="242">
        <f>4460.48/1000*1.18</f>
        <v>5.263366399999999</v>
      </c>
      <c r="E54" s="242">
        <v>1.31575</v>
      </c>
      <c r="F54" s="242">
        <v>1.31575</v>
      </c>
      <c r="G54" s="242">
        <v>1.31575</v>
      </c>
      <c r="H54" s="242">
        <v>1.31575</v>
      </c>
      <c r="I54" s="15"/>
    </row>
    <row r="55" spans="1:9" ht="15.75">
      <c r="A55" s="6">
        <v>7</v>
      </c>
      <c r="B55" s="5" t="s">
        <v>602</v>
      </c>
      <c r="C55" s="15"/>
      <c r="D55" s="242">
        <f>3446.6/1000*1.18</f>
        <v>4.066988</v>
      </c>
      <c r="E55" s="242">
        <v>1.01675</v>
      </c>
      <c r="F55" s="242">
        <v>1.01675</v>
      </c>
      <c r="G55" s="242">
        <v>1.01675</v>
      </c>
      <c r="H55" s="242">
        <v>1.01675</v>
      </c>
      <c r="I55" s="15"/>
    </row>
    <row r="56" spans="1:9" ht="15.75">
      <c r="A56" s="6"/>
      <c r="B56" s="5"/>
      <c r="C56" s="15"/>
      <c r="D56" s="242"/>
      <c r="E56" s="242"/>
      <c r="F56" s="242"/>
      <c r="G56" s="242"/>
      <c r="H56" s="242"/>
      <c r="I56" s="15"/>
    </row>
    <row r="57" spans="1:9" ht="15.75">
      <c r="A57" s="6"/>
      <c r="B57" s="5"/>
      <c r="C57" s="15"/>
      <c r="D57" s="242"/>
      <c r="E57" s="242"/>
      <c r="F57" s="242"/>
      <c r="G57" s="242"/>
      <c r="H57" s="242"/>
      <c r="I57" s="15"/>
    </row>
    <row r="58" spans="1:9" ht="15.75">
      <c r="A58" s="214" t="s">
        <v>614</v>
      </c>
      <c r="B58" s="214" t="s">
        <v>659</v>
      </c>
      <c r="C58" s="214"/>
      <c r="D58" s="305">
        <f>D59</f>
        <v>37.956883</v>
      </c>
      <c r="E58" s="305">
        <f>E59</f>
        <v>9.4895</v>
      </c>
      <c r="F58" s="305">
        <f>F59</f>
        <v>9.4895</v>
      </c>
      <c r="G58" s="305">
        <f>G59</f>
        <v>9.4895</v>
      </c>
      <c r="H58" s="305">
        <f>H59</f>
        <v>9.4895</v>
      </c>
      <c r="I58" s="15"/>
    </row>
    <row r="59" spans="1:9" ht="31.5">
      <c r="A59" s="317" t="s">
        <v>615</v>
      </c>
      <c r="B59" s="275" t="s">
        <v>179</v>
      </c>
      <c r="C59" s="275"/>
      <c r="D59" s="306">
        <f>SUM(D60:D66)</f>
        <v>37.956883</v>
      </c>
      <c r="E59" s="306">
        <f>SUM(E60:E66)</f>
        <v>9.4895</v>
      </c>
      <c r="F59" s="306">
        <f>SUM(F60:F66)</f>
        <v>9.4895</v>
      </c>
      <c r="G59" s="306">
        <f>SUM(G60:G66)</f>
        <v>9.4895</v>
      </c>
      <c r="H59" s="306">
        <f>SUM(H60:H66)</f>
        <v>9.4895</v>
      </c>
      <c r="I59" s="15"/>
    </row>
    <row r="60" spans="1:9" ht="47.25">
      <c r="A60" s="6">
        <v>1</v>
      </c>
      <c r="B60" s="5" t="s">
        <v>595</v>
      </c>
      <c r="C60" s="15"/>
      <c r="D60" s="242">
        <v>0</v>
      </c>
      <c r="E60" s="242">
        <v>0</v>
      </c>
      <c r="F60" s="242">
        <v>0</v>
      </c>
      <c r="G60" s="242">
        <v>0</v>
      </c>
      <c r="H60" s="242">
        <v>0</v>
      </c>
      <c r="I60" s="15"/>
    </row>
    <row r="61" spans="1:9" ht="31.5">
      <c r="A61" s="6">
        <v>2</v>
      </c>
      <c r="B61" s="5" t="s">
        <v>8</v>
      </c>
      <c r="C61" s="15"/>
      <c r="D61" s="242">
        <v>0</v>
      </c>
      <c r="E61" s="242">
        <v>0</v>
      </c>
      <c r="F61" s="242">
        <v>0</v>
      </c>
      <c r="G61" s="242">
        <v>0</v>
      </c>
      <c r="H61" s="242">
        <v>0</v>
      </c>
      <c r="I61" s="15"/>
    </row>
    <row r="62" spans="1:9" ht="31.5">
      <c r="A62" s="6">
        <v>3</v>
      </c>
      <c r="B62" s="5" t="s">
        <v>604</v>
      </c>
      <c r="C62" s="15"/>
      <c r="D62" s="242">
        <f>225.22/1000*1.18</f>
        <v>0.2657596</v>
      </c>
      <c r="E62" s="242">
        <v>0.0665</v>
      </c>
      <c r="F62" s="242">
        <v>0.0665</v>
      </c>
      <c r="G62" s="242">
        <v>0.0665</v>
      </c>
      <c r="H62" s="242">
        <v>0.0665</v>
      </c>
      <c r="I62" s="15"/>
    </row>
    <row r="63" spans="1:9" ht="63">
      <c r="A63" s="6">
        <v>4</v>
      </c>
      <c r="B63" s="5" t="s">
        <v>603</v>
      </c>
      <c r="C63" s="15"/>
      <c r="D63" s="242">
        <f>9432.93/1000*1.18</f>
        <v>11.1308574</v>
      </c>
      <c r="E63" s="242">
        <v>2.78275</v>
      </c>
      <c r="F63" s="242">
        <v>2.78275</v>
      </c>
      <c r="G63" s="242">
        <v>2.78275</v>
      </c>
      <c r="H63" s="242">
        <v>2.78275</v>
      </c>
      <c r="I63" s="15"/>
    </row>
    <row r="64" spans="1:9" ht="31.5">
      <c r="A64" s="6">
        <v>5</v>
      </c>
      <c r="B64" s="5" t="s">
        <v>9</v>
      </c>
      <c r="C64" s="15"/>
      <c r="D64" s="242">
        <f>3486.57/1000*1.18</f>
        <v>4.1141526</v>
      </c>
      <c r="E64" s="242">
        <v>1.0285</v>
      </c>
      <c r="F64" s="242">
        <v>1.0285</v>
      </c>
      <c r="G64" s="242">
        <v>1.0285</v>
      </c>
      <c r="H64" s="242">
        <v>1.0285</v>
      </c>
      <c r="I64" s="15"/>
    </row>
    <row r="65" spans="1:9" ht="47.25">
      <c r="A65" s="6">
        <v>6</v>
      </c>
      <c r="B65" s="5" t="s">
        <v>10</v>
      </c>
      <c r="C65" s="15"/>
      <c r="D65" s="242">
        <f>13104.69/1000*1.18</f>
        <v>15.463534199999998</v>
      </c>
      <c r="E65" s="242">
        <v>3.866</v>
      </c>
      <c r="F65" s="242">
        <v>3.866</v>
      </c>
      <c r="G65" s="242">
        <v>3.866</v>
      </c>
      <c r="H65" s="242">
        <v>3.866</v>
      </c>
      <c r="I65" s="15"/>
    </row>
    <row r="66" spans="1:9" ht="31.5">
      <c r="A66" s="6">
        <v>7</v>
      </c>
      <c r="B66" s="5" t="s">
        <v>596</v>
      </c>
      <c r="C66" s="15"/>
      <c r="D66" s="242">
        <f>5917.44/1000*1.18</f>
        <v>6.9825792</v>
      </c>
      <c r="E66" s="242">
        <v>1.74575</v>
      </c>
      <c r="F66" s="242">
        <v>1.74575</v>
      </c>
      <c r="G66" s="242">
        <v>1.74575</v>
      </c>
      <c r="H66" s="242">
        <v>1.74575</v>
      </c>
      <c r="I66" s="15"/>
    </row>
    <row r="67" spans="1:13" ht="48" customHeight="1">
      <c r="A67" s="214">
        <v>3</v>
      </c>
      <c r="B67" s="282" t="s">
        <v>15</v>
      </c>
      <c r="C67" s="214"/>
      <c r="D67" s="286">
        <f>1024.79*1.18/1000</f>
        <v>1.2092521999999999</v>
      </c>
      <c r="E67" s="289">
        <v>0.30225</v>
      </c>
      <c r="F67" s="289">
        <v>0.30225</v>
      </c>
      <c r="G67" s="289">
        <v>0.30225</v>
      </c>
      <c r="H67" s="289">
        <v>0.30225</v>
      </c>
      <c r="I67" s="280"/>
      <c r="J67" s="584"/>
      <c r="K67" s="584"/>
      <c r="L67" s="584"/>
      <c r="M67" s="584"/>
    </row>
    <row r="68" spans="1:13" ht="48" customHeight="1">
      <c r="A68" s="214">
        <v>4</v>
      </c>
      <c r="B68" s="282" t="s">
        <v>16</v>
      </c>
      <c r="C68" s="214"/>
      <c r="D68" s="286">
        <v>0</v>
      </c>
      <c r="E68" s="289">
        <v>0</v>
      </c>
      <c r="F68" s="289">
        <v>0</v>
      </c>
      <c r="G68" s="289">
        <v>0</v>
      </c>
      <c r="H68" s="289">
        <v>0</v>
      </c>
      <c r="I68" s="280"/>
      <c r="J68" s="584"/>
      <c r="K68" s="584"/>
      <c r="L68" s="584"/>
      <c r="M68" s="584"/>
    </row>
    <row r="69" spans="1:13" ht="15.75">
      <c r="A69" s="214">
        <v>5</v>
      </c>
      <c r="B69" s="282" t="s">
        <v>605</v>
      </c>
      <c r="C69" s="214"/>
      <c r="D69" s="286">
        <f>200.73*1.18/1000</f>
        <v>0.23686139999999997</v>
      </c>
      <c r="E69" s="289">
        <v>0.059</v>
      </c>
      <c r="F69" s="289">
        <v>0.059</v>
      </c>
      <c r="G69" s="289">
        <v>0.059</v>
      </c>
      <c r="H69" s="289">
        <v>0.059</v>
      </c>
      <c r="I69" s="280"/>
      <c r="J69" s="584"/>
      <c r="K69" s="584"/>
      <c r="L69" s="584"/>
      <c r="M69" s="584"/>
    </row>
    <row r="70" spans="1:13" ht="31.5">
      <c r="A70" s="214">
        <v>6</v>
      </c>
      <c r="B70" s="282" t="s">
        <v>11</v>
      </c>
      <c r="C70" s="214"/>
      <c r="D70" s="286">
        <f>2030*1.18/1000</f>
        <v>2.3954</v>
      </c>
      <c r="E70" s="289">
        <v>0.59875</v>
      </c>
      <c r="F70" s="289">
        <v>0.59875</v>
      </c>
      <c r="G70" s="289">
        <v>0.59875</v>
      </c>
      <c r="H70" s="289">
        <v>0.59875</v>
      </c>
      <c r="I70" s="280"/>
      <c r="J70" s="584"/>
      <c r="K70" s="584"/>
      <c r="L70" s="584"/>
      <c r="M70" s="584"/>
    </row>
    <row r="71" spans="1:13" ht="31.5">
      <c r="A71" s="214">
        <v>7</v>
      </c>
      <c r="B71" s="282" t="s">
        <v>12</v>
      </c>
      <c r="C71" s="214"/>
      <c r="D71" s="286">
        <f>3608.25*1.18/1000</f>
        <v>4.257734999999999</v>
      </c>
      <c r="E71" s="289">
        <v>1.0645</v>
      </c>
      <c r="F71" s="289">
        <v>1.0645</v>
      </c>
      <c r="G71" s="289">
        <v>1.0645</v>
      </c>
      <c r="H71" s="289">
        <v>1.0645</v>
      </c>
      <c r="I71" s="280"/>
      <c r="J71" s="584"/>
      <c r="K71" s="584"/>
      <c r="L71" s="584"/>
      <c r="M71" s="584"/>
    </row>
    <row r="72" spans="1:13" ht="31.5">
      <c r="A72" s="214">
        <v>8</v>
      </c>
      <c r="B72" s="282" t="s">
        <v>13</v>
      </c>
      <c r="C72" s="214"/>
      <c r="D72" s="286">
        <f>1294.18*1.18/1000</f>
        <v>1.5271324</v>
      </c>
      <c r="E72" s="289">
        <v>0.38175</v>
      </c>
      <c r="F72" s="289">
        <v>0.38175</v>
      </c>
      <c r="G72" s="289">
        <v>0.38175</v>
      </c>
      <c r="H72" s="289">
        <v>0.38175</v>
      </c>
      <c r="I72" s="280"/>
      <c r="J72" s="584"/>
      <c r="K72" s="584"/>
      <c r="L72" s="584"/>
      <c r="M72" s="584"/>
    </row>
    <row r="73" spans="1:13" ht="31.5">
      <c r="A73" s="214">
        <v>9</v>
      </c>
      <c r="B73" s="282" t="s">
        <v>14</v>
      </c>
      <c r="C73" s="214"/>
      <c r="D73" s="286">
        <v>0</v>
      </c>
      <c r="E73" s="289">
        <v>0</v>
      </c>
      <c r="F73" s="289">
        <v>0</v>
      </c>
      <c r="G73" s="289">
        <v>0</v>
      </c>
      <c r="H73" s="289">
        <v>0</v>
      </c>
      <c r="I73" s="280"/>
      <c r="J73" s="584"/>
      <c r="K73" s="584"/>
      <c r="L73" s="584"/>
      <c r="M73" s="584"/>
    </row>
    <row r="74" spans="1:13" ht="31.5">
      <c r="A74" s="214">
        <v>10</v>
      </c>
      <c r="B74" s="282" t="s">
        <v>565</v>
      </c>
      <c r="C74" s="283"/>
      <c r="D74" s="286">
        <f>SUM(D75:D77)</f>
        <v>4.9954828</v>
      </c>
      <c r="E74" s="289">
        <f>SUM(E75:E77)</f>
        <v>1.283875</v>
      </c>
      <c r="F74" s="289">
        <f>SUM(F75:F77)</f>
        <v>1.283875</v>
      </c>
      <c r="G74" s="289">
        <f>SUM(G75:G77)</f>
        <v>1.283875</v>
      </c>
      <c r="H74" s="289">
        <f>SUM(H75:H77)</f>
        <v>1.283875</v>
      </c>
      <c r="I74" s="280"/>
      <c r="J74" s="584"/>
      <c r="K74" s="584"/>
      <c r="L74" s="584"/>
      <c r="M74" s="584"/>
    </row>
    <row r="75" spans="1:13" ht="15.75">
      <c r="A75" s="6"/>
      <c r="B75" s="213" t="s">
        <v>606</v>
      </c>
      <c r="C75" s="5"/>
      <c r="D75" s="284">
        <f>1592.8*1.18/1000</f>
        <v>1.8795039999999998</v>
      </c>
      <c r="E75" s="229">
        <v>0.47</v>
      </c>
      <c r="F75" s="229">
        <v>0.47</v>
      </c>
      <c r="G75" s="229">
        <v>0.47</v>
      </c>
      <c r="H75" s="229">
        <v>0.47</v>
      </c>
      <c r="I75" s="6"/>
      <c r="J75" s="584"/>
      <c r="K75" s="584"/>
      <c r="L75" s="584"/>
      <c r="M75" s="584"/>
    </row>
    <row r="76" spans="1:13" ht="15.75">
      <c r="A76" s="6"/>
      <c r="B76" s="213" t="s">
        <v>607</v>
      </c>
      <c r="C76" s="6"/>
      <c r="D76" s="284">
        <f>1984.28*1.18/1000</f>
        <v>2.3414504</v>
      </c>
      <c r="E76" s="229">
        <v>0.58525</v>
      </c>
      <c r="F76" s="229">
        <v>0.58525</v>
      </c>
      <c r="G76" s="229">
        <v>0.58525</v>
      </c>
      <c r="H76" s="229">
        <v>0.58525</v>
      </c>
      <c r="I76" s="6"/>
      <c r="J76" s="584"/>
      <c r="K76" s="584"/>
      <c r="L76" s="584"/>
      <c r="M76" s="584"/>
    </row>
    <row r="77" spans="1:13" ht="15.75">
      <c r="A77" s="6"/>
      <c r="B77" s="213" t="s">
        <v>608</v>
      </c>
      <c r="C77" s="15"/>
      <c r="D77" s="287">
        <f>656.38*1.18/1000</f>
        <v>0.7745283999999999</v>
      </c>
      <c r="E77" s="291">
        <f>0.19375*1.18</f>
        <v>0.228625</v>
      </c>
      <c r="F77" s="291">
        <f>0.19375*1.18</f>
        <v>0.228625</v>
      </c>
      <c r="G77" s="291">
        <f>0.19375*1.18</f>
        <v>0.228625</v>
      </c>
      <c r="H77" s="291">
        <f>0.19375*1.18</f>
        <v>0.228625</v>
      </c>
      <c r="I77" s="15"/>
      <c r="J77" s="585"/>
      <c r="K77" s="585"/>
      <c r="L77" s="585"/>
      <c r="M77" s="585"/>
    </row>
    <row r="78" spans="1:9" ht="15.75">
      <c r="A78" s="71"/>
      <c r="B78" s="71"/>
      <c r="C78" s="28"/>
      <c r="D78" s="28"/>
      <c r="E78" s="28"/>
      <c r="F78" s="28"/>
      <c r="G78" s="28"/>
      <c r="H78" s="28"/>
      <c r="I78" s="28"/>
    </row>
    <row r="79" spans="1:9" ht="15.75">
      <c r="A79" s="986" t="s">
        <v>297</v>
      </c>
      <c r="B79" s="986"/>
      <c r="C79" s="986"/>
      <c r="D79" s="986"/>
      <c r="E79" s="986"/>
      <c r="F79" s="986"/>
      <c r="G79" s="986"/>
      <c r="H79" s="986"/>
      <c r="I79" s="986"/>
    </row>
    <row r="80" spans="1:9" ht="15.75">
      <c r="A80" s="986" t="s">
        <v>298</v>
      </c>
      <c r="B80" s="986"/>
      <c r="C80" s="986"/>
      <c r="D80" s="986"/>
      <c r="E80" s="986"/>
      <c r="F80" s="986"/>
      <c r="G80" s="986"/>
      <c r="H80" s="986"/>
      <c r="I80" s="986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12" ht="39" customHeight="1">
      <c r="A85" s="1015" t="s">
        <v>65</v>
      </c>
      <c r="B85" s="1015"/>
      <c r="C85" s="1015"/>
      <c r="D85" s="1015"/>
      <c r="E85" s="1015"/>
      <c r="F85" s="1015"/>
      <c r="G85" s="1015"/>
      <c r="H85" s="1015"/>
      <c r="I85" s="1015"/>
      <c r="J85" s="591"/>
      <c r="K85" s="591"/>
      <c r="L85" s="591"/>
    </row>
    <row r="86" spans="1:8" ht="16.5" thickBot="1">
      <c r="A86" s="16"/>
      <c r="H86" s="4"/>
    </row>
    <row r="87" spans="1:9" ht="15.75" customHeight="1">
      <c r="A87" s="1117" t="s">
        <v>624</v>
      </c>
      <c r="B87" s="1093" t="s">
        <v>625</v>
      </c>
      <c r="C87" s="1093" t="s">
        <v>296</v>
      </c>
      <c r="D87" s="1093"/>
      <c r="E87" s="1093"/>
      <c r="F87" s="1093"/>
      <c r="G87" s="1093"/>
      <c r="H87" s="1093" t="s">
        <v>626</v>
      </c>
      <c r="I87" s="1114"/>
    </row>
    <row r="88" spans="1:9" ht="15.75">
      <c r="A88" s="1118"/>
      <c r="B88" s="1094"/>
      <c r="C88" s="214" t="s">
        <v>627</v>
      </c>
      <c r="D88" s="214" t="s">
        <v>628</v>
      </c>
      <c r="E88" s="214" t="s">
        <v>629</v>
      </c>
      <c r="F88" s="214" t="s">
        <v>630</v>
      </c>
      <c r="G88" s="214" t="s">
        <v>631</v>
      </c>
      <c r="H88" s="1094"/>
      <c r="I88" s="1115"/>
    </row>
    <row r="89" spans="1:9" ht="16.5" thickBot="1">
      <c r="A89" s="1119"/>
      <c r="B89" s="1095"/>
      <c r="C89" s="415" t="s">
        <v>135</v>
      </c>
      <c r="D89" s="415" t="s">
        <v>632</v>
      </c>
      <c r="E89" s="415" t="s">
        <v>632</v>
      </c>
      <c r="F89" s="415" t="s">
        <v>632</v>
      </c>
      <c r="G89" s="415" t="s">
        <v>632</v>
      </c>
      <c r="H89" s="1095"/>
      <c r="I89" s="1116"/>
    </row>
    <row r="90" spans="1:9" ht="15.75">
      <c r="A90" s="390">
        <v>1</v>
      </c>
      <c r="B90" s="416" t="s">
        <v>635</v>
      </c>
      <c r="C90" s="417">
        <f>C91+C97</f>
        <v>108.071716</v>
      </c>
      <c r="D90" s="417">
        <f>D91+D97</f>
        <v>27.017929</v>
      </c>
      <c r="E90" s="417">
        <f>E91+E97</f>
        <v>27.017929</v>
      </c>
      <c r="F90" s="417">
        <f>F91+F97</f>
        <v>27.017929</v>
      </c>
      <c r="G90" s="417">
        <f>G91+G97</f>
        <v>27.017929</v>
      </c>
      <c r="H90" s="1100"/>
      <c r="I90" s="1101"/>
    </row>
    <row r="91" spans="1:9" ht="15.75">
      <c r="A91" s="418" t="s">
        <v>612</v>
      </c>
      <c r="B91" s="419" t="s">
        <v>636</v>
      </c>
      <c r="C91" s="286">
        <f>C92</f>
        <v>11.8</v>
      </c>
      <c r="D91" s="286">
        <f>D92</f>
        <v>2.95</v>
      </c>
      <c r="E91" s="286">
        <f>E92</f>
        <v>2.95</v>
      </c>
      <c r="F91" s="286">
        <f>F92</f>
        <v>2.95</v>
      </c>
      <c r="G91" s="286">
        <f>G92</f>
        <v>2.95</v>
      </c>
      <c r="H91" s="1098"/>
      <c r="I91" s="1099"/>
    </row>
    <row r="92" spans="1:9" ht="31.5">
      <c r="A92" s="154" t="s">
        <v>637</v>
      </c>
      <c r="B92" s="5" t="s">
        <v>506</v>
      </c>
      <c r="C92" s="284">
        <v>11.8</v>
      </c>
      <c r="D92" s="284">
        <f>C92/4</f>
        <v>2.95</v>
      </c>
      <c r="E92" s="284">
        <f>D92</f>
        <v>2.95</v>
      </c>
      <c r="F92" s="284">
        <f>D92</f>
        <v>2.95</v>
      </c>
      <c r="G92" s="284">
        <f>D92</f>
        <v>2.95</v>
      </c>
      <c r="H92" s="1096"/>
      <c r="I92" s="1097"/>
    </row>
    <row r="93" spans="1:9" ht="31.5">
      <c r="A93" s="154" t="s">
        <v>650</v>
      </c>
      <c r="B93" s="5" t="s">
        <v>507</v>
      </c>
      <c r="C93" s="229" t="s">
        <v>598</v>
      </c>
      <c r="D93" s="229" t="s">
        <v>598</v>
      </c>
      <c r="E93" s="229" t="s">
        <v>598</v>
      </c>
      <c r="F93" s="229" t="s">
        <v>598</v>
      </c>
      <c r="G93" s="229" t="s">
        <v>598</v>
      </c>
      <c r="H93" s="1096"/>
      <c r="I93" s="1097"/>
    </row>
    <row r="94" spans="1:9" ht="47.25">
      <c r="A94" s="154" t="s">
        <v>654</v>
      </c>
      <c r="B94" s="5" t="s">
        <v>508</v>
      </c>
      <c r="C94" s="229" t="s">
        <v>598</v>
      </c>
      <c r="D94" s="229" t="s">
        <v>598</v>
      </c>
      <c r="E94" s="229" t="s">
        <v>598</v>
      </c>
      <c r="F94" s="229" t="s">
        <v>598</v>
      </c>
      <c r="G94" s="229" t="s">
        <v>598</v>
      </c>
      <c r="H94" s="1096"/>
      <c r="I94" s="1097"/>
    </row>
    <row r="95" spans="1:9" ht="31.5">
      <c r="A95" s="154" t="s">
        <v>655</v>
      </c>
      <c r="B95" s="5" t="s">
        <v>509</v>
      </c>
      <c r="C95" s="229" t="s">
        <v>598</v>
      </c>
      <c r="D95" s="229" t="s">
        <v>598</v>
      </c>
      <c r="E95" s="229" t="s">
        <v>598</v>
      </c>
      <c r="F95" s="229" t="s">
        <v>598</v>
      </c>
      <c r="G95" s="229" t="s">
        <v>598</v>
      </c>
      <c r="H95" s="1096"/>
      <c r="I95" s="1097"/>
    </row>
    <row r="96" spans="1:9" ht="31.5">
      <c r="A96" s="154" t="s">
        <v>656</v>
      </c>
      <c r="B96" s="5" t="s">
        <v>510</v>
      </c>
      <c r="C96" s="229" t="s">
        <v>598</v>
      </c>
      <c r="D96" s="229" t="s">
        <v>598</v>
      </c>
      <c r="E96" s="229" t="s">
        <v>598</v>
      </c>
      <c r="F96" s="229" t="s">
        <v>598</v>
      </c>
      <c r="G96" s="229" t="s">
        <v>598</v>
      </c>
      <c r="H96" s="1096"/>
      <c r="I96" s="1097"/>
    </row>
    <row r="97" spans="1:9" ht="15.75">
      <c r="A97" s="418" t="s">
        <v>613</v>
      </c>
      <c r="B97" s="419" t="s">
        <v>638</v>
      </c>
      <c r="C97" s="305">
        <f>81.5862*1.18</f>
        <v>96.271716</v>
      </c>
      <c r="D97" s="305">
        <f>C97/4</f>
        <v>24.067929</v>
      </c>
      <c r="E97" s="305">
        <f>D97</f>
        <v>24.067929</v>
      </c>
      <c r="F97" s="305">
        <f>D97</f>
        <v>24.067929</v>
      </c>
      <c r="G97" s="305">
        <f>D97</f>
        <v>24.067929</v>
      </c>
      <c r="H97" s="1098"/>
      <c r="I97" s="1099"/>
    </row>
    <row r="98" spans="1:9" ht="15.75">
      <c r="A98" s="418" t="s">
        <v>623</v>
      </c>
      <c r="B98" s="419" t="s">
        <v>639</v>
      </c>
      <c r="C98" s="305">
        <f>C90/1.18*0.18</f>
        <v>16.485516</v>
      </c>
      <c r="D98" s="305">
        <f>D90/1.18*0.18</f>
        <v>4.121379</v>
      </c>
      <c r="E98" s="305">
        <f>E90/1.18*0.18</f>
        <v>4.121379</v>
      </c>
      <c r="F98" s="305">
        <f>D98</f>
        <v>4.121379</v>
      </c>
      <c r="G98" s="305">
        <f>D98</f>
        <v>4.121379</v>
      </c>
      <c r="H98" s="1102"/>
      <c r="I98" s="1103"/>
    </row>
    <row r="99" spans="1:9" ht="15.75">
      <c r="A99" s="154" t="s">
        <v>640</v>
      </c>
      <c r="B99" s="5" t="s">
        <v>641</v>
      </c>
      <c r="C99" s="229" t="s">
        <v>598</v>
      </c>
      <c r="D99" s="229" t="s">
        <v>598</v>
      </c>
      <c r="E99" s="229" t="s">
        <v>598</v>
      </c>
      <c r="F99" s="229" t="s">
        <v>598</v>
      </c>
      <c r="G99" s="229" t="s">
        <v>598</v>
      </c>
      <c r="H99" s="1091"/>
      <c r="I99" s="1092"/>
    </row>
    <row r="100" spans="1:9" ht="15.75">
      <c r="A100" s="154" t="s">
        <v>642</v>
      </c>
      <c r="B100" s="5" t="s">
        <v>511</v>
      </c>
      <c r="C100" s="229" t="s">
        <v>598</v>
      </c>
      <c r="D100" s="229" t="s">
        <v>598</v>
      </c>
      <c r="E100" s="229" t="s">
        <v>598</v>
      </c>
      <c r="F100" s="229" t="s">
        <v>598</v>
      </c>
      <c r="G100" s="229" t="s">
        <v>598</v>
      </c>
      <c r="H100" s="1091"/>
      <c r="I100" s="1092"/>
    </row>
    <row r="101" spans="1:9" ht="15.75">
      <c r="A101" s="154" t="s">
        <v>614</v>
      </c>
      <c r="B101" s="5" t="s">
        <v>512</v>
      </c>
      <c r="C101" s="229" t="s">
        <v>598</v>
      </c>
      <c r="D101" s="229" t="s">
        <v>598</v>
      </c>
      <c r="E101" s="229" t="s">
        <v>598</v>
      </c>
      <c r="F101" s="229" t="s">
        <v>598</v>
      </c>
      <c r="G101" s="229" t="s">
        <v>598</v>
      </c>
      <c r="H101" s="1091"/>
      <c r="I101" s="1092"/>
    </row>
    <row r="102" spans="1:9" ht="15.75">
      <c r="A102" s="154" t="s">
        <v>615</v>
      </c>
      <c r="B102" s="5" t="s">
        <v>136</v>
      </c>
      <c r="C102" s="229" t="s">
        <v>598</v>
      </c>
      <c r="D102" s="229" t="s">
        <v>598</v>
      </c>
      <c r="E102" s="229" t="s">
        <v>598</v>
      </c>
      <c r="F102" s="229" t="s">
        <v>598</v>
      </c>
      <c r="G102" s="229" t="s">
        <v>598</v>
      </c>
      <c r="H102" s="1091"/>
      <c r="I102" s="1092"/>
    </row>
    <row r="103" spans="1:9" ht="15.75">
      <c r="A103" s="154" t="s">
        <v>616</v>
      </c>
      <c r="B103" s="5" t="s">
        <v>132</v>
      </c>
      <c r="C103" s="229" t="s">
        <v>598</v>
      </c>
      <c r="D103" s="229" t="s">
        <v>598</v>
      </c>
      <c r="E103" s="229" t="s">
        <v>598</v>
      </c>
      <c r="F103" s="229" t="s">
        <v>598</v>
      </c>
      <c r="G103" s="229" t="s">
        <v>598</v>
      </c>
      <c r="H103" s="1091"/>
      <c r="I103" s="1092"/>
    </row>
    <row r="104" spans="1:9" ht="15.75">
      <c r="A104" s="154" t="s">
        <v>617</v>
      </c>
      <c r="B104" s="5" t="s">
        <v>133</v>
      </c>
      <c r="C104" s="229" t="s">
        <v>598</v>
      </c>
      <c r="D104" s="229" t="s">
        <v>598</v>
      </c>
      <c r="E104" s="229" t="s">
        <v>598</v>
      </c>
      <c r="F104" s="229" t="s">
        <v>598</v>
      </c>
      <c r="G104" s="229" t="s">
        <v>598</v>
      </c>
      <c r="H104" s="1091"/>
      <c r="I104" s="1092"/>
    </row>
    <row r="105" spans="1:9" ht="15.75">
      <c r="A105" s="154" t="s">
        <v>618</v>
      </c>
      <c r="B105" s="5" t="s">
        <v>643</v>
      </c>
      <c r="C105" s="229" t="s">
        <v>598</v>
      </c>
      <c r="D105" s="229" t="s">
        <v>598</v>
      </c>
      <c r="E105" s="229" t="s">
        <v>598</v>
      </c>
      <c r="F105" s="229" t="s">
        <v>598</v>
      </c>
      <c r="G105" s="229" t="s">
        <v>598</v>
      </c>
      <c r="H105" s="1091"/>
      <c r="I105" s="1092"/>
    </row>
    <row r="106" spans="1:9" ht="15.75">
      <c r="A106" s="154" t="s">
        <v>660</v>
      </c>
      <c r="B106" s="5" t="s">
        <v>653</v>
      </c>
      <c r="C106" s="229" t="s">
        <v>598</v>
      </c>
      <c r="D106" s="229" t="s">
        <v>598</v>
      </c>
      <c r="E106" s="229" t="s">
        <v>598</v>
      </c>
      <c r="F106" s="229" t="s">
        <v>598</v>
      </c>
      <c r="G106" s="229" t="s">
        <v>598</v>
      </c>
      <c r="H106" s="1091"/>
      <c r="I106" s="1092"/>
    </row>
    <row r="107" spans="1:9" ht="16.5" thickBot="1">
      <c r="A107" s="159" t="s">
        <v>122</v>
      </c>
      <c r="B107" s="160" t="s">
        <v>644</v>
      </c>
      <c r="C107" s="301" t="s">
        <v>598</v>
      </c>
      <c r="D107" s="301" t="s">
        <v>598</v>
      </c>
      <c r="E107" s="301" t="s">
        <v>598</v>
      </c>
      <c r="F107" s="301" t="s">
        <v>598</v>
      </c>
      <c r="G107" s="301" t="s">
        <v>598</v>
      </c>
      <c r="H107" s="1111"/>
      <c r="I107" s="1112"/>
    </row>
    <row r="108" spans="1:8" ht="15.75">
      <c r="A108" s="35"/>
      <c r="B108" s="81"/>
      <c r="C108" s="28"/>
      <c r="D108" s="28"/>
      <c r="E108" s="28"/>
      <c r="F108" s="28"/>
      <c r="G108" s="28"/>
      <c r="H108" s="35"/>
    </row>
    <row r="109" spans="1:7" ht="15.75">
      <c r="A109" s="14" t="s">
        <v>134</v>
      </c>
      <c r="C109" s="28"/>
      <c r="D109" s="28"/>
      <c r="E109" s="28"/>
      <c r="F109" s="28"/>
      <c r="G109" s="28"/>
    </row>
    <row r="118" spans="1:12" ht="41.25" customHeight="1">
      <c r="A118" s="976" t="s">
        <v>66</v>
      </c>
      <c r="B118" s="976"/>
      <c r="C118" s="976"/>
      <c r="D118" s="976"/>
      <c r="E118" s="976"/>
      <c r="F118" s="976"/>
      <c r="G118" s="976"/>
      <c r="H118" s="976"/>
      <c r="I118" s="976"/>
      <c r="J118" s="976"/>
      <c r="K118" s="976"/>
      <c r="L118" s="976"/>
    </row>
    <row r="119" ht="16.5" thickBot="1"/>
    <row r="120" spans="1:12" ht="15.75">
      <c r="A120" s="1037" t="s">
        <v>609</v>
      </c>
      <c r="B120" s="1104" t="s">
        <v>661</v>
      </c>
      <c r="C120" s="931" t="s">
        <v>651</v>
      </c>
      <c r="D120" s="923"/>
      <c r="E120" s="923"/>
      <c r="F120" s="923"/>
      <c r="G120" s="923"/>
      <c r="H120" s="922" t="s">
        <v>138</v>
      </c>
      <c r="I120" s="923"/>
      <c r="J120" s="923"/>
      <c r="K120" s="923"/>
      <c r="L120" s="923"/>
    </row>
    <row r="121" spans="1:12" ht="15.75">
      <c r="A121" s="1038"/>
      <c r="B121" s="1105"/>
      <c r="C121" s="1108" t="s">
        <v>135</v>
      </c>
      <c r="D121" s="1107"/>
      <c r="E121" s="1107"/>
      <c r="F121" s="1107"/>
      <c r="G121" s="1107"/>
      <c r="H121" s="1044" t="s">
        <v>135</v>
      </c>
      <c r="I121" s="1107"/>
      <c r="J121" s="1107"/>
      <c r="K121" s="1107"/>
      <c r="L121" s="1107"/>
    </row>
    <row r="122" spans="1:12" ht="15.75">
      <c r="A122" s="1038"/>
      <c r="B122" s="1105"/>
      <c r="C122" s="939" t="s">
        <v>662</v>
      </c>
      <c r="D122" s="926"/>
      <c r="E122" s="926"/>
      <c r="F122" s="926"/>
      <c r="G122" s="926"/>
      <c r="H122" s="925" t="s">
        <v>662</v>
      </c>
      <c r="I122" s="926"/>
      <c r="J122" s="926"/>
      <c r="K122" s="926"/>
      <c r="L122" s="926"/>
    </row>
    <row r="123" spans="1:12" ht="32.25" thickBot="1">
      <c r="A123" s="1039"/>
      <c r="B123" s="1106"/>
      <c r="C123" s="94" t="s">
        <v>725</v>
      </c>
      <c r="D123" s="79" t="s">
        <v>726</v>
      </c>
      <c r="E123" s="79" t="s">
        <v>727</v>
      </c>
      <c r="F123" s="79" t="s">
        <v>728</v>
      </c>
      <c r="G123" s="79" t="s">
        <v>711</v>
      </c>
      <c r="H123" s="95" t="s">
        <v>725</v>
      </c>
      <c r="I123" s="79" t="s">
        <v>726</v>
      </c>
      <c r="J123" s="79" t="s">
        <v>727</v>
      </c>
      <c r="K123" s="79" t="s">
        <v>728</v>
      </c>
      <c r="L123" s="79" t="s">
        <v>711</v>
      </c>
    </row>
    <row r="124" spans="1:12" ht="16.5" thickBot="1">
      <c r="A124" s="556">
        <v>1</v>
      </c>
      <c r="B124" s="556">
        <v>2</v>
      </c>
      <c r="C124" s="357">
        <v>3</v>
      </c>
      <c r="D124" s="358">
        <v>4</v>
      </c>
      <c r="E124" s="358">
        <v>5</v>
      </c>
      <c r="F124" s="358">
        <v>6</v>
      </c>
      <c r="G124" s="358">
        <v>7</v>
      </c>
      <c r="H124" s="357">
        <v>8</v>
      </c>
      <c r="I124" s="358">
        <v>9</v>
      </c>
      <c r="J124" s="358">
        <v>10</v>
      </c>
      <c r="K124" s="358">
        <v>11</v>
      </c>
      <c r="L124" s="358">
        <v>12</v>
      </c>
    </row>
    <row r="125" spans="1:12" ht="15.75">
      <c r="A125" s="555"/>
      <c r="B125" s="554" t="s">
        <v>550</v>
      </c>
      <c r="C125" s="359"/>
      <c r="D125" s="359"/>
      <c r="E125" s="359"/>
      <c r="F125" s="360"/>
      <c r="G125" s="360"/>
      <c r="H125" s="360"/>
      <c r="I125" s="360"/>
      <c r="J125" s="360"/>
      <c r="K125" s="360"/>
      <c r="L125" s="360"/>
    </row>
    <row r="126" spans="1:12" ht="15.75">
      <c r="A126" s="320">
        <v>1</v>
      </c>
      <c r="B126" s="206" t="s">
        <v>553</v>
      </c>
      <c r="C126" s="320" t="s">
        <v>598</v>
      </c>
      <c r="D126" s="320" t="s">
        <v>598</v>
      </c>
      <c r="E126" s="320" t="s">
        <v>598</v>
      </c>
      <c r="F126" s="558" t="s">
        <v>731</v>
      </c>
      <c r="G126" s="558" t="s">
        <v>731</v>
      </c>
      <c r="H126" s="321"/>
      <c r="I126" s="321"/>
      <c r="J126" s="321"/>
      <c r="K126" s="558" t="s">
        <v>731</v>
      </c>
      <c r="L126" s="558" t="s">
        <v>731</v>
      </c>
    </row>
    <row r="127" spans="1:12" ht="31.5">
      <c r="A127" s="344">
        <v>2</v>
      </c>
      <c r="B127" s="207" t="s">
        <v>422</v>
      </c>
      <c r="C127" s="320" t="s">
        <v>598</v>
      </c>
      <c r="D127" s="320" t="s">
        <v>598</v>
      </c>
      <c r="E127" s="320" t="s">
        <v>598</v>
      </c>
      <c r="F127" s="558" t="s">
        <v>732</v>
      </c>
      <c r="G127" s="558" t="s">
        <v>732</v>
      </c>
      <c r="H127" s="321"/>
      <c r="I127" s="321"/>
      <c r="J127" s="321"/>
      <c r="K127" s="558" t="s">
        <v>732</v>
      </c>
      <c r="L127" s="558" t="s">
        <v>732</v>
      </c>
    </row>
    <row r="128" spans="1:12" ht="15.75">
      <c r="A128" s="535"/>
      <c r="B128" s="557" t="s">
        <v>559</v>
      </c>
      <c r="C128" s="320"/>
      <c r="D128" s="320"/>
      <c r="E128" s="320"/>
      <c r="F128" s="148"/>
      <c r="G128" s="148"/>
      <c r="H128" s="321"/>
      <c r="I128" s="321"/>
      <c r="J128" s="321"/>
      <c r="K128" s="148"/>
      <c r="L128" s="148"/>
    </row>
    <row r="129" spans="1:12" ht="31.5">
      <c r="A129" s="344">
        <v>3</v>
      </c>
      <c r="B129" s="446" t="s">
        <v>59</v>
      </c>
      <c r="C129" s="320" t="s">
        <v>598</v>
      </c>
      <c r="D129" s="320" t="s">
        <v>598</v>
      </c>
      <c r="E129" s="320" t="s">
        <v>598</v>
      </c>
      <c r="F129" s="559" t="s">
        <v>734</v>
      </c>
      <c r="G129" s="559" t="s">
        <v>734</v>
      </c>
      <c r="H129" s="321"/>
      <c r="I129" s="321"/>
      <c r="J129" s="321"/>
      <c r="K129" s="559" t="s">
        <v>734</v>
      </c>
      <c r="L129" s="559" t="s">
        <v>734</v>
      </c>
    </row>
    <row r="130" spans="1:12" ht="15.75">
      <c r="A130" s="320"/>
      <c r="B130" s="553" t="s">
        <v>554</v>
      </c>
      <c r="C130" s="320"/>
      <c r="D130" s="320"/>
      <c r="E130" s="320"/>
      <c r="F130" s="148"/>
      <c r="G130" s="148"/>
      <c r="H130" s="321"/>
      <c r="I130" s="321"/>
      <c r="J130" s="321"/>
      <c r="K130" s="148"/>
      <c r="L130" s="148"/>
    </row>
    <row r="131" spans="1:12" ht="31.5">
      <c r="A131" s="344">
        <v>4</v>
      </c>
      <c r="B131" s="447" t="s">
        <v>555</v>
      </c>
      <c r="C131" s="320" t="s">
        <v>598</v>
      </c>
      <c r="D131" s="320" t="s">
        <v>598</v>
      </c>
      <c r="E131" s="320" t="s">
        <v>598</v>
      </c>
      <c r="F131" s="558" t="s">
        <v>532</v>
      </c>
      <c r="G131" s="558" t="s">
        <v>532</v>
      </c>
      <c r="H131" s="321"/>
      <c r="I131" s="321"/>
      <c r="J131" s="321"/>
      <c r="K131" s="558" t="s">
        <v>532</v>
      </c>
      <c r="L131" s="558" t="s">
        <v>532</v>
      </c>
    </row>
    <row r="132" spans="1:12" ht="15.75">
      <c r="A132" s="320">
        <v>5</v>
      </c>
      <c r="B132" s="447" t="s">
        <v>556</v>
      </c>
      <c r="C132" s="320" t="s">
        <v>598</v>
      </c>
      <c r="D132" s="320" t="s">
        <v>598</v>
      </c>
      <c r="E132" s="320" t="s">
        <v>598</v>
      </c>
      <c r="F132" s="558" t="s">
        <v>533</v>
      </c>
      <c r="G132" s="558" t="s">
        <v>533</v>
      </c>
      <c r="H132" s="321"/>
      <c r="I132" s="321"/>
      <c r="J132" s="321"/>
      <c r="K132" s="558" t="s">
        <v>533</v>
      </c>
      <c r="L132" s="558" t="s">
        <v>533</v>
      </c>
    </row>
    <row r="133" spans="1:12" ht="15.75">
      <c r="A133" s="344">
        <v>6</v>
      </c>
      <c r="B133" s="447" t="s">
        <v>552</v>
      </c>
      <c r="C133" s="320" t="s">
        <v>598</v>
      </c>
      <c r="D133" s="320" t="s">
        <v>598</v>
      </c>
      <c r="E133" s="320" t="s">
        <v>598</v>
      </c>
      <c r="F133" s="558" t="s">
        <v>534</v>
      </c>
      <c r="G133" s="558" t="s">
        <v>534</v>
      </c>
      <c r="H133" s="321"/>
      <c r="I133" s="321"/>
      <c r="J133" s="321"/>
      <c r="K133" s="558" t="s">
        <v>534</v>
      </c>
      <c r="L133" s="558" t="s">
        <v>534</v>
      </c>
    </row>
    <row r="134" spans="1:12" ht="15.75">
      <c r="A134" s="320">
        <v>7</v>
      </c>
      <c r="B134" s="447" t="s">
        <v>557</v>
      </c>
      <c r="C134" s="320"/>
      <c r="D134" s="320"/>
      <c r="E134" s="320"/>
      <c r="F134" s="558" t="s">
        <v>534</v>
      </c>
      <c r="G134" s="558" t="s">
        <v>534</v>
      </c>
      <c r="H134" s="321"/>
      <c r="I134" s="321"/>
      <c r="J134" s="321"/>
      <c r="K134" s="558" t="s">
        <v>534</v>
      </c>
      <c r="L134" s="558" t="s">
        <v>534</v>
      </c>
    </row>
    <row r="135" spans="1:12" ht="15.75">
      <c r="A135" s="344">
        <v>8</v>
      </c>
      <c r="B135" s="447" t="s">
        <v>558</v>
      </c>
      <c r="C135" s="320" t="s">
        <v>598</v>
      </c>
      <c r="D135" s="320" t="s">
        <v>598</v>
      </c>
      <c r="E135" s="320" t="s">
        <v>598</v>
      </c>
      <c r="F135" s="558" t="s">
        <v>535</v>
      </c>
      <c r="G135" s="558" t="s">
        <v>535</v>
      </c>
      <c r="H135" s="321"/>
      <c r="I135" s="321"/>
      <c r="J135" s="321"/>
      <c r="K135" s="558" t="s">
        <v>535</v>
      </c>
      <c r="L135" s="558" t="s">
        <v>535</v>
      </c>
    </row>
    <row r="136" spans="1:12" ht="31.5">
      <c r="A136" s="344">
        <v>9</v>
      </c>
      <c r="B136" s="209" t="s">
        <v>150</v>
      </c>
      <c r="C136" s="320" t="s">
        <v>598</v>
      </c>
      <c r="D136" s="320" t="s">
        <v>598</v>
      </c>
      <c r="E136" s="320" t="s">
        <v>598</v>
      </c>
      <c r="F136" s="320" t="s">
        <v>598</v>
      </c>
      <c r="G136" s="320" t="s">
        <v>598</v>
      </c>
      <c r="H136" s="320"/>
      <c r="I136" s="320"/>
      <c r="J136" s="320"/>
      <c r="K136" s="320" t="s">
        <v>598</v>
      </c>
      <c r="L136" s="320" t="s">
        <v>598</v>
      </c>
    </row>
    <row r="137" spans="1:12" ht="15.75">
      <c r="A137" s="344">
        <v>10</v>
      </c>
      <c r="B137" s="209" t="s">
        <v>151</v>
      </c>
      <c r="C137" s="320" t="s">
        <v>598</v>
      </c>
      <c r="D137" s="320" t="s">
        <v>598</v>
      </c>
      <c r="E137" s="320" t="s">
        <v>598</v>
      </c>
      <c r="F137" s="320" t="s">
        <v>598</v>
      </c>
      <c r="G137" s="320" t="s">
        <v>598</v>
      </c>
      <c r="H137" s="321"/>
      <c r="I137" s="321"/>
      <c r="J137" s="321"/>
      <c r="K137" s="320" t="s">
        <v>598</v>
      </c>
      <c r="L137" s="320" t="s">
        <v>598</v>
      </c>
    </row>
    <row r="138" spans="1:12" ht="15.75">
      <c r="A138" s="320">
        <v>11</v>
      </c>
      <c r="B138" s="209" t="s">
        <v>147</v>
      </c>
      <c r="C138" s="320" t="s">
        <v>598</v>
      </c>
      <c r="D138" s="320" t="s">
        <v>598</v>
      </c>
      <c r="E138" s="320" t="s">
        <v>598</v>
      </c>
      <c r="F138" s="320" t="s">
        <v>598</v>
      </c>
      <c r="G138" s="320" t="s">
        <v>598</v>
      </c>
      <c r="H138" s="321"/>
      <c r="I138" s="321"/>
      <c r="J138" s="321"/>
      <c r="K138" s="320" t="s">
        <v>598</v>
      </c>
      <c r="L138" s="320" t="s">
        <v>598</v>
      </c>
    </row>
    <row r="139" spans="1:12" ht="15.75">
      <c r="A139" s="344">
        <v>12</v>
      </c>
      <c r="B139" s="553" t="s">
        <v>550</v>
      </c>
      <c r="C139" s="320"/>
      <c r="D139" s="320"/>
      <c r="E139" s="320"/>
      <c r="F139" s="148"/>
      <c r="G139" s="148"/>
      <c r="H139" s="321"/>
      <c r="I139" s="321"/>
      <c r="J139" s="321"/>
      <c r="K139" s="148"/>
      <c r="L139" s="148"/>
    </row>
    <row r="140" spans="1:12" ht="15.75">
      <c r="A140" s="344"/>
      <c r="B140" s="206" t="s">
        <v>551</v>
      </c>
      <c r="C140" s="320" t="s">
        <v>598</v>
      </c>
      <c r="D140" s="320" t="s">
        <v>598</v>
      </c>
      <c r="E140" s="320" t="s">
        <v>598</v>
      </c>
      <c r="F140" s="558" t="s">
        <v>733</v>
      </c>
      <c r="G140" s="558" t="s">
        <v>733</v>
      </c>
      <c r="H140" s="321"/>
      <c r="I140" s="321"/>
      <c r="J140" s="321"/>
      <c r="K140" s="558" t="s">
        <v>733</v>
      </c>
      <c r="L140" s="558" t="s">
        <v>733</v>
      </c>
    </row>
    <row r="141" spans="1:12" ht="15.75">
      <c r="A141" s="320">
        <v>13</v>
      </c>
      <c r="B141" s="206" t="s">
        <v>552</v>
      </c>
      <c r="C141" s="320" t="s">
        <v>598</v>
      </c>
      <c r="D141" s="320" t="s">
        <v>598</v>
      </c>
      <c r="E141" s="320" t="s">
        <v>598</v>
      </c>
      <c r="F141" s="558" t="s">
        <v>163</v>
      </c>
      <c r="G141" s="558" t="s">
        <v>163</v>
      </c>
      <c r="H141" s="321"/>
      <c r="I141" s="321"/>
      <c r="J141" s="321"/>
      <c r="K141" s="558" t="s">
        <v>163</v>
      </c>
      <c r="L141" s="558" t="s">
        <v>163</v>
      </c>
    </row>
    <row r="142" spans="1:12" ht="15.75">
      <c r="A142" s="344"/>
      <c r="B142" s="557" t="s">
        <v>559</v>
      </c>
      <c r="C142" s="320"/>
      <c r="D142" s="320"/>
      <c r="E142" s="320"/>
      <c r="F142" s="148"/>
      <c r="G142" s="148"/>
      <c r="H142" s="321"/>
      <c r="I142" s="321"/>
      <c r="J142" s="321"/>
      <c r="K142" s="148"/>
      <c r="L142" s="148"/>
    </row>
    <row r="143" spans="1:12" ht="31.5">
      <c r="A143" s="344">
        <v>14</v>
      </c>
      <c r="B143" s="446" t="s">
        <v>560</v>
      </c>
      <c r="C143" s="148"/>
      <c r="D143" s="148"/>
      <c r="E143" s="148"/>
      <c r="F143" s="559" t="s">
        <v>67</v>
      </c>
      <c r="G143" s="559" t="s">
        <v>67</v>
      </c>
      <c r="H143" s="321"/>
      <c r="I143" s="321"/>
      <c r="J143" s="321"/>
      <c r="K143" s="559" t="s">
        <v>67</v>
      </c>
      <c r="L143" s="559" t="s">
        <v>67</v>
      </c>
    </row>
    <row r="144" spans="1:12" ht="15.75">
      <c r="A144" s="344">
        <v>15</v>
      </c>
      <c r="B144" s="446" t="s">
        <v>54</v>
      </c>
      <c r="C144" s="148"/>
      <c r="D144" s="148"/>
      <c r="E144" s="148"/>
      <c r="F144" s="558" t="s">
        <v>55</v>
      </c>
      <c r="G144" s="558" t="s">
        <v>55</v>
      </c>
      <c r="H144" s="321"/>
      <c r="I144" s="321"/>
      <c r="J144" s="321"/>
      <c r="K144" s="558" t="s">
        <v>55</v>
      </c>
      <c r="L144" s="558" t="s">
        <v>55</v>
      </c>
    </row>
    <row r="145" spans="1:12" ht="47.25">
      <c r="A145" s="320">
        <v>16</v>
      </c>
      <c r="B145" s="543" t="s">
        <v>152</v>
      </c>
      <c r="C145" s="148"/>
      <c r="D145" s="148"/>
      <c r="E145" s="148"/>
      <c r="F145" s="559" t="s">
        <v>68</v>
      </c>
      <c r="G145" s="559" t="s">
        <v>68</v>
      </c>
      <c r="H145" s="560"/>
      <c r="I145" s="560"/>
      <c r="J145" s="560"/>
      <c r="K145" s="559" t="s">
        <v>68</v>
      </c>
      <c r="L145" s="559" t="s">
        <v>68</v>
      </c>
    </row>
    <row r="146" spans="1:12" ht="15.75">
      <c r="A146" s="344">
        <v>17</v>
      </c>
      <c r="B146" s="553" t="s">
        <v>554</v>
      </c>
      <c r="C146" s="148"/>
      <c r="D146" s="148"/>
      <c r="E146" s="148"/>
      <c r="F146" s="559"/>
      <c r="G146" s="559"/>
      <c r="H146" s="560"/>
      <c r="I146" s="560"/>
      <c r="J146" s="560"/>
      <c r="K146" s="559"/>
      <c r="L146" s="559"/>
    </row>
    <row r="147" spans="1:12" ht="31.5">
      <c r="A147" s="344">
        <v>18</v>
      </c>
      <c r="B147" s="447" t="s">
        <v>686</v>
      </c>
      <c r="C147" s="148"/>
      <c r="D147" s="148"/>
      <c r="E147" s="148"/>
      <c r="F147" s="558" t="s">
        <v>48</v>
      </c>
      <c r="G147" s="558" t="s">
        <v>48</v>
      </c>
      <c r="H147" s="321"/>
      <c r="I147" s="321"/>
      <c r="J147" s="321"/>
      <c r="K147" s="558" t="s">
        <v>48</v>
      </c>
      <c r="L147" s="558" t="s">
        <v>48</v>
      </c>
    </row>
    <row r="148" spans="1:12" ht="15.75">
      <c r="A148" s="320"/>
      <c r="B148" s="557" t="s">
        <v>659</v>
      </c>
      <c r="C148" s="148"/>
      <c r="D148" s="148"/>
      <c r="E148" s="148"/>
      <c r="F148" s="148"/>
      <c r="G148" s="148"/>
      <c r="H148" s="321"/>
      <c r="I148" s="321"/>
      <c r="J148" s="321"/>
      <c r="K148" s="148"/>
      <c r="L148" s="148"/>
    </row>
    <row r="149" spans="1:12" ht="47.25">
      <c r="A149" s="344">
        <v>19</v>
      </c>
      <c r="B149" s="209" t="s">
        <v>721</v>
      </c>
      <c r="C149" s="320" t="s">
        <v>598</v>
      </c>
      <c r="D149" s="320" t="s">
        <v>598</v>
      </c>
      <c r="E149" s="320" t="s">
        <v>598</v>
      </c>
      <c r="F149" s="344" t="s">
        <v>735</v>
      </c>
      <c r="G149" s="344" t="s">
        <v>735</v>
      </c>
      <c r="H149" s="320"/>
      <c r="I149" s="321"/>
      <c r="J149" s="321"/>
      <c r="K149" s="344" t="s">
        <v>735</v>
      </c>
      <c r="L149" s="344" t="s">
        <v>735</v>
      </c>
    </row>
    <row r="150" spans="1:12" ht="47.25">
      <c r="A150" s="344">
        <v>20</v>
      </c>
      <c r="B150" s="209" t="s">
        <v>696</v>
      </c>
      <c r="C150" s="320" t="s">
        <v>598</v>
      </c>
      <c r="D150" s="320" t="s">
        <v>598</v>
      </c>
      <c r="E150" s="320" t="s">
        <v>598</v>
      </c>
      <c r="F150" s="320" t="s">
        <v>598</v>
      </c>
      <c r="G150" s="320" t="s">
        <v>598</v>
      </c>
      <c r="H150" s="320"/>
      <c r="I150" s="321"/>
      <c r="J150" s="321"/>
      <c r="K150" s="320" t="s">
        <v>598</v>
      </c>
      <c r="L150" s="320" t="s">
        <v>598</v>
      </c>
    </row>
    <row r="151" spans="1:12" ht="31.5">
      <c r="A151" s="344">
        <v>21</v>
      </c>
      <c r="B151" s="209" t="s">
        <v>741</v>
      </c>
      <c r="C151" s="320" t="s">
        <v>598</v>
      </c>
      <c r="D151" s="320" t="s">
        <v>598</v>
      </c>
      <c r="E151" s="320" t="s">
        <v>598</v>
      </c>
      <c r="F151" s="320" t="s">
        <v>598</v>
      </c>
      <c r="G151" s="320" t="s">
        <v>598</v>
      </c>
      <c r="H151" s="320"/>
      <c r="I151" s="321"/>
      <c r="J151" s="321"/>
      <c r="K151" s="320" t="s">
        <v>598</v>
      </c>
      <c r="L151" s="320" t="s">
        <v>598</v>
      </c>
    </row>
    <row r="152" spans="1:12" ht="63">
      <c r="A152" s="344">
        <v>22</v>
      </c>
      <c r="B152" s="209" t="s">
        <v>742</v>
      </c>
      <c r="C152" s="320" t="s">
        <v>598</v>
      </c>
      <c r="D152" s="320" t="s">
        <v>598</v>
      </c>
      <c r="E152" s="320" t="s">
        <v>598</v>
      </c>
      <c r="F152" s="320" t="s">
        <v>598</v>
      </c>
      <c r="G152" s="320" t="s">
        <v>598</v>
      </c>
      <c r="H152" s="320"/>
      <c r="I152" s="321"/>
      <c r="J152" s="321"/>
      <c r="K152" s="320" t="s">
        <v>598</v>
      </c>
      <c r="L152" s="320" t="s">
        <v>598</v>
      </c>
    </row>
    <row r="153" spans="1:12" ht="31.5">
      <c r="A153" s="344">
        <v>23</v>
      </c>
      <c r="B153" s="209" t="s">
        <v>743</v>
      </c>
      <c r="C153" s="320" t="s">
        <v>598</v>
      </c>
      <c r="D153" s="320" t="s">
        <v>598</v>
      </c>
      <c r="E153" s="320" t="s">
        <v>598</v>
      </c>
      <c r="F153" s="320" t="s">
        <v>598</v>
      </c>
      <c r="G153" s="320" t="s">
        <v>598</v>
      </c>
      <c r="H153" s="320"/>
      <c r="I153" s="321"/>
      <c r="J153" s="321"/>
      <c r="K153" s="320" t="s">
        <v>598</v>
      </c>
      <c r="L153" s="320" t="s">
        <v>598</v>
      </c>
    </row>
    <row r="154" spans="1:12" ht="31.5">
      <c r="A154" s="344">
        <v>24</v>
      </c>
      <c r="B154" s="209" t="s">
        <v>744</v>
      </c>
      <c r="C154" s="320" t="s">
        <v>598</v>
      </c>
      <c r="D154" s="320" t="s">
        <v>598</v>
      </c>
      <c r="E154" s="320" t="s">
        <v>598</v>
      </c>
      <c r="F154" s="320" t="s">
        <v>598</v>
      </c>
      <c r="G154" s="320" t="s">
        <v>598</v>
      </c>
      <c r="H154" s="320"/>
      <c r="I154" s="321"/>
      <c r="J154" s="321"/>
      <c r="K154" s="320" t="s">
        <v>598</v>
      </c>
      <c r="L154" s="320" t="s">
        <v>598</v>
      </c>
    </row>
    <row r="155" spans="1:12" ht="63">
      <c r="A155" s="344">
        <v>25</v>
      </c>
      <c r="B155" s="209" t="s">
        <v>745</v>
      </c>
      <c r="C155" s="320" t="s">
        <v>598</v>
      </c>
      <c r="D155" s="320" t="s">
        <v>598</v>
      </c>
      <c r="E155" s="320" t="s">
        <v>598</v>
      </c>
      <c r="F155" s="320" t="s">
        <v>598</v>
      </c>
      <c r="G155" s="320" t="s">
        <v>598</v>
      </c>
      <c r="H155" s="320"/>
      <c r="I155" s="321"/>
      <c r="J155" s="321"/>
      <c r="K155" s="320" t="s">
        <v>598</v>
      </c>
      <c r="L155" s="320" t="s">
        <v>598</v>
      </c>
    </row>
    <row r="156" spans="1:12" ht="31.5">
      <c r="A156" s="344">
        <v>26</v>
      </c>
      <c r="B156" s="209" t="s">
        <v>792</v>
      </c>
      <c r="C156" s="320" t="s">
        <v>598</v>
      </c>
      <c r="D156" s="320" t="s">
        <v>598</v>
      </c>
      <c r="E156" s="320" t="s">
        <v>598</v>
      </c>
      <c r="F156" s="320" t="s">
        <v>598</v>
      </c>
      <c r="G156" s="320" t="s">
        <v>598</v>
      </c>
      <c r="H156" s="320"/>
      <c r="I156" s="321"/>
      <c r="J156" s="321"/>
      <c r="K156" s="320" t="s">
        <v>598</v>
      </c>
      <c r="L156" s="320" t="s">
        <v>598</v>
      </c>
    </row>
    <row r="157" spans="1:12" ht="31.5">
      <c r="A157" s="344">
        <v>27</v>
      </c>
      <c r="B157" s="209" t="s">
        <v>746</v>
      </c>
      <c r="C157" s="320" t="s">
        <v>598</v>
      </c>
      <c r="D157" s="320" t="s">
        <v>598</v>
      </c>
      <c r="E157" s="320" t="s">
        <v>598</v>
      </c>
      <c r="F157" s="320" t="s">
        <v>598</v>
      </c>
      <c r="G157" s="320" t="s">
        <v>598</v>
      </c>
      <c r="H157" s="320"/>
      <c r="I157" s="321"/>
      <c r="J157" s="321"/>
      <c r="K157" s="320" t="s">
        <v>598</v>
      </c>
      <c r="L157" s="320" t="s">
        <v>598</v>
      </c>
    </row>
    <row r="158" spans="1:12" ht="47.25">
      <c r="A158" s="344">
        <v>28</v>
      </c>
      <c r="B158" s="209" t="s">
        <v>747</v>
      </c>
      <c r="C158" s="320" t="s">
        <v>598</v>
      </c>
      <c r="D158" s="320" t="s">
        <v>598</v>
      </c>
      <c r="E158" s="320" t="s">
        <v>598</v>
      </c>
      <c r="F158" s="320" t="s">
        <v>598</v>
      </c>
      <c r="G158" s="320" t="s">
        <v>598</v>
      </c>
      <c r="H158" s="320"/>
      <c r="I158" s="321"/>
      <c r="J158" s="321"/>
      <c r="K158" s="320" t="s">
        <v>598</v>
      </c>
      <c r="L158" s="320" t="s">
        <v>598</v>
      </c>
    </row>
    <row r="159" spans="1:12" ht="47.25">
      <c r="A159" s="344">
        <v>29</v>
      </c>
      <c r="B159" s="209" t="s">
        <v>748</v>
      </c>
      <c r="C159" s="320" t="s">
        <v>598</v>
      </c>
      <c r="D159" s="320" t="s">
        <v>598</v>
      </c>
      <c r="E159" s="320" t="s">
        <v>598</v>
      </c>
      <c r="F159" s="320" t="s">
        <v>598</v>
      </c>
      <c r="G159" s="320" t="s">
        <v>598</v>
      </c>
      <c r="H159" s="320"/>
      <c r="I159" s="321"/>
      <c r="J159" s="321"/>
      <c r="K159" s="320" t="s">
        <v>598</v>
      </c>
      <c r="L159" s="320" t="s">
        <v>598</v>
      </c>
    </row>
    <row r="160" spans="1:12" ht="63">
      <c r="A160" s="344">
        <v>30</v>
      </c>
      <c r="B160" s="209" t="s">
        <v>749</v>
      </c>
      <c r="C160" s="320" t="s">
        <v>598</v>
      </c>
      <c r="D160" s="320" t="s">
        <v>598</v>
      </c>
      <c r="E160" s="320" t="s">
        <v>598</v>
      </c>
      <c r="F160" s="320" t="s">
        <v>598</v>
      </c>
      <c r="G160" s="320" t="s">
        <v>598</v>
      </c>
      <c r="H160" s="320"/>
      <c r="I160" s="321"/>
      <c r="J160" s="321"/>
      <c r="K160" s="320" t="s">
        <v>598</v>
      </c>
      <c r="L160" s="320" t="s">
        <v>598</v>
      </c>
    </row>
    <row r="161" spans="1:12" ht="31.5">
      <c r="A161" s="344">
        <v>31</v>
      </c>
      <c r="B161" s="209" t="s">
        <v>793</v>
      </c>
      <c r="C161" s="320" t="s">
        <v>598</v>
      </c>
      <c r="D161" s="320" t="s">
        <v>598</v>
      </c>
      <c r="E161" s="320" t="s">
        <v>598</v>
      </c>
      <c r="F161" s="320" t="s">
        <v>794</v>
      </c>
      <c r="G161" s="320" t="s">
        <v>598</v>
      </c>
      <c r="H161" s="320"/>
      <c r="I161" s="321"/>
      <c r="J161" s="321"/>
      <c r="K161" s="320" t="s">
        <v>794</v>
      </c>
      <c r="L161" s="320" t="s">
        <v>598</v>
      </c>
    </row>
    <row r="162" spans="1:12" ht="47.25">
      <c r="A162" s="344">
        <v>32</v>
      </c>
      <c r="B162" s="209" t="s">
        <v>722</v>
      </c>
      <c r="C162" s="320"/>
      <c r="D162" s="320"/>
      <c r="E162" s="320"/>
      <c r="F162" s="344" t="s">
        <v>729</v>
      </c>
      <c r="G162" s="344" t="s">
        <v>729</v>
      </c>
      <c r="H162" s="320"/>
      <c r="I162" s="321"/>
      <c r="J162" s="321"/>
      <c r="K162" s="344" t="s">
        <v>729</v>
      </c>
      <c r="L162" s="344" t="s">
        <v>729</v>
      </c>
    </row>
    <row r="163" spans="1:12" ht="47.25">
      <c r="A163" s="344">
        <v>33</v>
      </c>
      <c r="B163" s="209" t="s">
        <v>723</v>
      </c>
      <c r="C163" s="320"/>
      <c r="D163" s="320"/>
      <c r="E163" s="320"/>
      <c r="F163" s="344" t="s">
        <v>730</v>
      </c>
      <c r="G163" s="344" t="s">
        <v>730</v>
      </c>
      <c r="H163" s="320"/>
      <c r="I163" s="321"/>
      <c r="J163" s="321"/>
      <c r="K163" s="344" t="s">
        <v>730</v>
      </c>
      <c r="L163" s="344" t="s">
        <v>730</v>
      </c>
    </row>
    <row r="164" spans="1:12" ht="31.5">
      <c r="A164" s="344">
        <v>34</v>
      </c>
      <c r="B164" s="209" t="s">
        <v>705</v>
      </c>
      <c r="C164" s="320"/>
      <c r="D164" s="320"/>
      <c r="E164" s="320"/>
      <c r="F164" s="344" t="s">
        <v>724</v>
      </c>
      <c r="G164" s="344" t="s">
        <v>724</v>
      </c>
      <c r="H164" s="320"/>
      <c r="I164" s="321"/>
      <c r="J164" s="321"/>
      <c r="K164" s="344" t="s">
        <v>724</v>
      </c>
      <c r="L164" s="344" t="s">
        <v>724</v>
      </c>
    </row>
    <row r="165" spans="1:12" ht="15.75">
      <c r="A165" s="29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</row>
    <row r="166" ht="15.75">
      <c r="A166" s="1" t="s">
        <v>134</v>
      </c>
    </row>
    <row r="168" spans="2:7" ht="15.75">
      <c r="B168" s="899"/>
      <c r="C168" s="899"/>
      <c r="D168" s="899"/>
      <c r="E168" s="899"/>
      <c r="F168" s="899"/>
      <c r="G168" s="899"/>
    </row>
    <row r="169" spans="2:7" ht="15.75">
      <c r="B169" s="568"/>
      <c r="C169" s="568"/>
      <c r="D169" s="568"/>
      <c r="E169" s="568"/>
      <c r="F169" s="586"/>
      <c r="G169" s="568"/>
    </row>
    <row r="170" spans="2:7" ht="15.75">
      <c r="B170" s="568"/>
      <c r="C170" s="568"/>
      <c r="D170" s="568"/>
      <c r="E170" s="568"/>
      <c r="F170" s="586"/>
      <c r="G170" s="568"/>
    </row>
    <row r="171" spans="2:7" ht="15.75">
      <c r="B171" s="568"/>
      <c r="C171" s="568"/>
      <c r="D171" s="568"/>
      <c r="E171" s="568"/>
      <c r="F171" s="586"/>
      <c r="G171" s="568"/>
    </row>
    <row r="172" spans="2:7" ht="15.75">
      <c r="B172" s="899"/>
      <c r="C172" s="899"/>
      <c r="D172" s="899"/>
      <c r="E172" s="899"/>
      <c r="F172" s="586"/>
      <c r="G172" s="566"/>
    </row>
    <row r="173" spans="2:7" ht="15.75">
      <c r="B173" s="572"/>
      <c r="C173" s="572"/>
      <c r="D173" s="572"/>
      <c r="E173" s="572"/>
      <c r="F173" s="572"/>
      <c r="G173" s="572"/>
    </row>
    <row r="174" spans="2:7" ht="15.75">
      <c r="B174" s="899"/>
      <c r="C174" s="899"/>
      <c r="D174" s="899"/>
      <c r="E174" s="899"/>
      <c r="F174" s="586"/>
      <c r="G174" s="566"/>
    </row>
  </sheetData>
  <sheetProtection/>
  <protectedRanges>
    <protectedRange sqref="B136:B138" name="Диапазон1_91_2_2_2_3_1"/>
  </protectedRanges>
  <mergeCells count="49">
    <mergeCell ref="C16:C18"/>
    <mergeCell ref="D16:H16"/>
    <mergeCell ref="I16:I18"/>
    <mergeCell ref="A5:I5"/>
    <mergeCell ref="A14:I14"/>
    <mergeCell ref="C87:G87"/>
    <mergeCell ref="H87:I89"/>
    <mergeCell ref="A80:I80"/>
    <mergeCell ref="A87:A89"/>
    <mergeCell ref="A85:I85"/>
    <mergeCell ref="C121:G121"/>
    <mergeCell ref="A8:B8"/>
    <mergeCell ref="A16:A18"/>
    <mergeCell ref="B16:B18"/>
    <mergeCell ref="H95:I95"/>
    <mergeCell ref="H107:I107"/>
    <mergeCell ref="H106:I106"/>
    <mergeCell ref="H105:I105"/>
    <mergeCell ref="H104:I104"/>
    <mergeCell ref="H103:I103"/>
    <mergeCell ref="C122:G122"/>
    <mergeCell ref="H101:I101"/>
    <mergeCell ref="H98:I98"/>
    <mergeCell ref="H122:L122"/>
    <mergeCell ref="A118:L118"/>
    <mergeCell ref="A120:A123"/>
    <mergeCell ref="B120:B123"/>
    <mergeCell ref="C120:G120"/>
    <mergeCell ref="H121:L121"/>
    <mergeCell ref="H120:L120"/>
    <mergeCell ref="A79:I79"/>
    <mergeCell ref="H100:I100"/>
    <mergeCell ref="H99:I99"/>
    <mergeCell ref="H92:I92"/>
    <mergeCell ref="H97:I97"/>
    <mergeCell ref="H96:I96"/>
    <mergeCell ref="H94:I94"/>
    <mergeCell ref="H90:I90"/>
    <mergeCell ref="H91:I91"/>
    <mergeCell ref="H102:I102"/>
    <mergeCell ref="B87:B89"/>
    <mergeCell ref="B174:C174"/>
    <mergeCell ref="D174:E174"/>
    <mergeCell ref="H93:I93"/>
    <mergeCell ref="B168:C168"/>
    <mergeCell ref="D168:E168"/>
    <mergeCell ref="F168:G168"/>
    <mergeCell ref="B172:C172"/>
    <mergeCell ref="D172:E172"/>
  </mergeCells>
  <printOptions/>
  <pageMargins left="0.5118110236220472" right="0" top="0.5511811023622047" bottom="0.7480314960629921" header="0" footer="0"/>
  <pageSetup fitToHeight="0" fitToWidth="1" horizontalDpi="600" verticalDpi="600" orientation="portrait" paperSize="9" scale="61" r:id="rId1"/>
  <rowBreaks count="4" manualBreakCount="4">
    <brk id="32" max="11" man="1"/>
    <brk id="67" max="11" man="1"/>
    <brk id="82" max="11" man="1"/>
    <brk id="11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96"/>
  <sheetViews>
    <sheetView zoomScale="70" zoomScaleNormal="70" zoomScaleSheetLayoutView="55" zoomScalePageLayoutView="0" workbookViewId="0" topLeftCell="A18">
      <selection activeCell="L20" sqref="L20:L4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12.25390625" style="1" customWidth="1"/>
    <col min="4" max="4" width="18.875" style="18" customWidth="1"/>
    <col min="5" max="5" width="14.25390625" style="18" bestFit="1" customWidth="1"/>
    <col min="6" max="6" width="15.25390625" style="18" bestFit="1" customWidth="1"/>
    <col min="7" max="7" width="19.00390625" style="18" customWidth="1"/>
    <col min="8" max="8" width="19.25390625" style="18" customWidth="1"/>
    <col min="9" max="9" width="16.625" style="18" bestFit="1" customWidth="1"/>
    <col min="10" max="10" width="19.875" style="1" customWidth="1"/>
    <col min="11" max="11" width="15.25390625" style="1" customWidth="1"/>
    <col min="12" max="12" width="16.00390625" style="1" customWidth="1"/>
    <col min="13" max="13" width="17.375" style="1" customWidth="1"/>
    <col min="14" max="15" width="15.125" style="1" customWidth="1"/>
    <col min="16" max="16" width="15.75390625" style="1" customWidth="1"/>
    <col min="17" max="16384" width="9.00390625" style="1" customWidth="1"/>
  </cols>
  <sheetData>
    <row r="1" ht="15.75">
      <c r="M1" s="4" t="s">
        <v>495</v>
      </c>
    </row>
    <row r="2" ht="15.75">
      <c r="M2" s="4" t="s">
        <v>292</v>
      </c>
    </row>
    <row r="3" ht="15.75">
      <c r="M3" s="4" t="s">
        <v>70</v>
      </c>
    </row>
    <row r="5" ht="15.75">
      <c r="M5" s="4"/>
    </row>
    <row r="6" spans="1:13" ht="18.75">
      <c r="A6" s="903" t="s">
        <v>438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</row>
    <row r="7" spans="1:13" ht="18.75">
      <c r="A7" s="903" t="s">
        <v>424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</row>
    <row r="8" spans="1:13" ht="18.75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2:13" ht="16.5">
      <c r="B9" s="450" t="s">
        <v>154</v>
      </c>
      <c r="C9" s="451"/>
      <c r="L9" s="450" t="s">
        <v>154</v>
      </c>
      <c r="M9" s="451"/>
    </row>
    <row r="10" spans="2:13" ht="16.5">
      <c r="B10" s="902" t="s">
        <v>155</v>
      </c>
      <c r="C10" s="902"/>
      <c r="L10" s="450" t="s">
        <v>568</v>
      </c>
      <c r="M10" s="451"/>
    </row>
    <row r="11" spans="2:13" ht="16.5">
      <c r="B11" s="450" t="s">
        <v>156</v>
      </c>
      <c r="C11" s="451"/>
      <c r="L11" s="450" t="s">
        <v>569</v>
      </c>
      <c r="M11" s="451"/>
    </row>
    <row r="12" spans="2:13" ht="16.5">
      <c r="B12" s="450" t="s">
        <v>44</v>
      </c>
      <c r="C12" s="451"/>
      <c r="L12" s="450"/>
      <c r="M12" s="451"/>
    </row>
    <row r="13" spans="2:13" ht="21" customHeight="1">
      <c r="B13" s="450" t="s">
        <v>45</v>
      </c>
      <c r="C13" s="451"/>
      <c r="L13" s="450" t="s">
        <v>159</v>
      </c>
      <c r="M13" s="451"/>
    </row>
    <row r="14" spans="2:13" ht="16.5">
      <c r="B14" s="450"/>
      <c r="C14" s="451"/>
      <c r="L14" s="450"/>
      <c r="M14" s="451"/>
    </row>
    <row r="15" spans="2:13" ht="24.75" customHeight="1">
      <c r="B15" s="450" t="s">
        <v>46</v>
      </c>
      <c r="C15" s="451"/>
      <c r="L15" s="450" t="s">
        <v>58</v>
      </c>
      <c r="M15" s="561"/>
    </row>
    <row r="16" spans="2:13" ht="17.25" thickBot="1">
      <c r="B16" s="450"/>
      <c r="C16" s="451"/>
      <c r="L16" s="450"/>
      <c r="M16" s="451"/>
    </row>
    <row r="17" spans="1:16" ht="21" customHeight="1">
      <c r="A17" s="897" t="s">
        <v>624</v>
      </c>
      <c r="B17" s="897" t="s">
        <v>647</v>
      </c>
      <c r="C17" s="897" t="s">
        <v>123</v>
      </c>
      <c r="D17" s="897" t="s">
        <v>75</v>
      </c>
      <c r="E17" s="897" t="s">
        <v>107</v>
      </c>
      <c r="F17" s="897" t="s">
        <v>108</v>
      </c>
      <c r="G17" s="897" t="s">
        <v>570</v>
      </c>
      <c r="H17" s="897" t="s">
        <v>182</v>
      </c>
      <c r="I17" s="897" t="s">
        <v>546</v>
      </c>
      <c r="J17" s="905" t="s">
        <v>651</v>
      </c>
      <c r="K17" s="905"/>
      <c r="L17" s="904" t="s">
        <v>692</v>
      </c>
      <c r="M17" s="904"/>
      <c r="N17" s="904"/>
      <c r="O17" s="904"/>
      <c r="P17" s="904"/>
    </row>
    <row r="18" spans="1:16" ht="64.5" customHeight="1">
      <c r="A18" s="898"/>
      <c r="B18" s="898"/>
      <c r="C18" s="898"/>
      <c r="D18" s="898"/>
      <c r="E18" s="898"/>
      <c r="F18" s="898"/>
      <c r="G18" s="898"/>
      <c r="H18" s="898"/>
      <c r="I18" s="898"/>
      <c r="J18" s="27" t="s">
        <v>578</v>
      </c>
      <c r="K18" s="27" t="s">
        <v>652</v>
      </c>
      <c r="L18" s="27" t="s">
        <v>339</v>
      </c>
      <c r="M18" s="27" t="s">
        <v>691</v>
      </c>
      <c r="N18" s="27" t="s">
        <v>693</v>
      </c>
      <c r="O18" s="27" t="s">
        <v>694</v>
      </c>
      <c r="P18" s="27" t="s">
        <v>695</v>
      </c>
    </row>
    <row r="19" spans="1:16" ht="32.25" thickBot="1">
      <c r="A19" s="900"/>
      <c r="B19" s="900"/>
      <c r="C19" s="73" t="s">
        <v>124</v>
      </c>
      <c r="D19" s="73" t="s">
        <v>106</v>
      </c>
      <c r="E19" s="900"/>
      <c r="F19" s="900"/>
      <c r="G19" s="73" t="s">
        <v>74</v>
      </c>
      <c r="H19" s="73" t="s">
        <v>74</v>
      </c>
      <c r="I19" s="73" t="s">
        <v>74</v>
      </c>
      <c r="J19" s="73" t="s">
        <v>106</v>
      </c>
      <c r="K19" s="73" t="s">
        <v>106</v>
      </c>
      <c r="L19" s="73" t="s">
        <v>74</v>
      </c>
      <c r="M19" s="73" t="s">
        <v>74</v>
      </c>
      <c r="N19" s="148"/>
      <c r="O19" s="148"/>
      <c r="P19" s="148"/>
    </row>
    <row r="20" spans="1:16" s="16" customFormat="1" ht="31.5">
      <c r="A20" s="217"/>
      <c r="B20" s="217" t="s">
        <v>173</v>
      </c>
      <c r="C20" s="217"/>
      <c r="D20" s="217"/>
      <c r="E20" s="217"/>
      <c r="F20" s="217"/>
      <c r="G20" s="225">
        <f>G21+G36+G54+G55+G56</f>
        <v>98.4576318</v>
      </c>
      <c r="H20" s="225">
        <f>H21+H36</f>
        <v>87.4670988</v>
      </c>
      <c r="I20" s="225"/>
      <c r="J20" s="225"/>
      <c r="K20" s="225"/>
      <c r="L20" s="225">
        <f>L21+L36+L54+L55+L56</f>
        <v>108.0717396</v>
      </c>
      <c r="M20" s="225">
        <f>M21+M36+M54+M55+M56</f>
        <v>0.52466458</v>
      </c>
      <c r="N20" s="225"/>
      <c r="O20" s="225"/>
      <c r="P20" s="225"/>
    </row>
    <row r="21" spans="1:16" s="16" customFormat="1" ht="31.5">
      <c r="A21" s="216">
        <v>1</v>
      </c>
      <c r="B21" s="272" t="s">
        <v>181</v>
      </c>
      <c r="C21" s="216"/>
      <c r="D21" s="216"/>
      <c r="E21" s="216"/>
      <c r="F21" s="216"/>
      <c r="G21" s="226">
        <f>G22+G25+G27</f>
        <v>40.1144324</v>
      </c>
      <c r="H21" s="226">
        <f>H22+H25+H27</f>
        <v>35.713384399999995</v>
      </c>
      <c r="I21" s="226"/>
      <c r="J21" s="216"/>
      <c r="K21" s="216"/>
      <c r="L21" s="226">
        <f>L22+L25+L27</f>
        <v>35.713384399999995</v>
      </c>
      <c r="M21" s="226">
        <f>M22+M25+M27</f>
        <v>0.34228378000000004</v>
      </c>
      <c r="N21" s="226"/>
      <c r="O21" s="226"/>
      <c r="P21" s="226"/>
    </row>
    <row r="22" spans="1:16" s="16" customFormat="1" ht="15.75">
      <c r="A22" s="222" t="s">
        <v>637</v>
      </c>
      <c r="B22" s="205" t="s">
        <v>550</v>
      </c>
      <c r="C22" s="222"/>
      <c r="D22" s="222"/>
      <c r="E22" s="222"/>
      <c r="F22" s="222"/>
      <c r="G22" s="228">
        <f aca="true" t="shared" si="0" ref="G22:M22">SUM(G23:G24)</f>
        <v>15.190871599999998</v>
      </c>
      <c r="H22" s="228">
        <f>SUM(H23:H24)</f>
        <v>15.190871599999998</v>
      </c>
      <c r="I22" s="228">
        <f t="shared" si="0"/>
        <v>0</v>
      </c>
      <c r="J22" s="228">
        <f t="shared" si="0"/>
        <v>0</v>
      </c>
      <c r="K22" s="228">
        <f t="shared" si="0"/>
        <v>0</v>
      </c>
      <c r="L22" s="228">
        <f t="shared" si="0"/>
        <v>15.190871599999998</v>
      </c>
      <c r="M22" s="228">
        <f t="shared" si="0"/>
        <v>0.0053218</v>
      </c>
      <c r="N22" s="228"/>
      <c r="O22" s="228"/>
      <c r="P22" s="228"/>
    </row>
    <row r="23" spans="1:16" s="16" customFormat="1" ht="15.75">
      <c r="A23" s="76"/>
      <c r="B23" s="206" t="s">
        <v>553</v>
      </c>
      <c r="C23" s="6" t="s">
        <v>566</v>
      </c>
      <c r="D23" s="76" t="s">
        <v>160</v>
      </c>
      <c r="E23" s="6">
        <v>2011</v>
      </c>
      <c r="F23" s="6">
        <v>2011</v>
      </c>
      <c r="G23" s="229">
        <f>L23</f>
        <v>2.9366659999999998</v>
      </c>
      <c r="H23" s="229">
        <f>'свод '!C9/1000</f>
        <v>2.9366659999999998</v>
      </c>
      <c r="I23" s="227"/>
      <c r="J23" s="6" t="str">
        <f>D23</f>
        <v>1,62 км</v>
      </c>
      <c r="K23" s="6" t="str">
        <f>J23</f>
        <v>1,62 км</v>
      </c>
      <c r="L23" s="229">
        <f>'свод '!C9/1000</f>
        <v>2.9366659999999998</v>
      </c>
      <c r="M23" s="229">
        <f>0.00451*1.18</f>
        <v>0.0053218</v>
      </c>
      <c r="N23" s="649"/>
      <c r="O23" s="649"/>
      <c r="P23" s="649"/>
    </row>
    <row r="24" spans="1:16" ht="31.5">
      <c r="A24" s="76"/>
      <c r="B24" s="207" t="s">
        <v>422</v>
      </c>
      <c r="C24" s="6" t="s">
        <v>566</v>
      </c>
      <c r="D24" s="76" t="s">
        <v>161</v>
      </c>
      <c r="E24" s="6">
        <v>2011</v>
      </c>
      <c r="F24" s="6">
        <v>2011</v>
      </c>
      <c r="G24" s="229">
        <f>L24</f>
        <v>12.254205599999999</v>
      </c>
      <c r="H24" s="229">
        <f>'свод '!C10/1000</f>
        <v>12.254205599999999</v>
      </c>
      <c r="I24" s="6" t="s">
        <v>598</v>
      </c>
      <c r="J24" s="6" t="str">
        <f>D24</f>
        <v>6,76 км</v>
      </c>
      <c r="K24" s="6" t="str">
        <f aca="true" t="shared" si="1" ref="K24:K43">J24</f>
        <v>6,76 км</v>
      </c>
      <c r="L24" s="229">
        <f>'свод '!C10/1000</f>
        <v>12.254205599999999</v>
      </c>
      <c r="M24" s="229">
        <v>0</v>
      </c>
      <c r="N24" s="148"/>
      <c r="O24" s="148"/>
      <c r="P24" s="148"/>
    </row>
    <row r="25" spans="1:16" ht="15.75">
      <c r="A25" s="224" t="s">
        <v>650</v>
      </c>
      <c r="B25" s="210" t="s">
        <v>559</v>
      </c>
      <c r="C25" s="302"/>
      <c r="D25" s="224"/>
      <c r="E25" s="302"/>
      <c r="F25" s="302"/>
      <c r="G25" s="231">
        <f>G26</f>
        <v>3.9715142</v>
      </c>
      <c r="H25" s="231">
        <f>H26</f>
        <v>3.9715142</v>
      </c>
      <c r="I25" s="231" t="str">
        <f>I26</f>
        <v>-</v>
      </c>
      <c r="J25" s="231"/>
      <c r="K25" s="231"/>
      <c r="L25" s="231">
        <f>L26</f>
        <v>3.9715142</v>
      </c>
      <c r="M25" s="228">
        <f>M26</f>
        <v>0.00119298</v>
      </c>
      <c r="N25" s="228"/>
      <c r="O25" s="228"/>
      <c r="P25" s="228"/>
    </row>
    <row r="26" spans="1:16" ht="31.5">
      <c r="A26" s="76"/>
      <c r="B26" s="446" t="s">
        <v>59</v>
      </c>
      <c r="C26" s="6" t="s">
        <v>566</v>
      </c>
      <c r="D26" s="76" t="s">
        <v>61</v>
      </c>
      <c r="E26" s="6">
        <v>2011</v>
      </c>
      <c r="F26" s="6">
        <v>2011</v>
      </c>
      <c r="G26" s="229">
        <f>L26</f>
        <v>3.9715142</v>
      </c>
      <c r="H26" s="230">
        <f>'свод '!C18/1000</f>
        <v>3.9715142</v>
      </c>
      <c r="I26" s="6" t="s">
        <v>598</v>
      </c>
      <c r="J26" s="6" t="str">
        <f>D26</f>
        <v>0,698 км/0,4 МВт</v>
      </c>
      <c r="K26" s="76" t="str">
        <f>J26</f>
        <v>0,698 км/0,4 МВт</v>
      </c>
      <c r="L26" s="230">
        <f>'свод '!C18/1000</f>
        <v>3.9715142</v>
      </c>
      <c r="M26" s="229">
        <f>0.001011*1.18</f>
        <v>0.00119298</v>
      </c>
      <c r="N26" s="148"/>
      <c r="O26" s="148"/>
      <c r="P26" s="148"/>
    </row>
    <row r="27" spans="1:16" ht="15.75">
      <c r="A27" s="224" t="s">
        <v>654</v>
      </c>
      <c r="B27" s="205" t="s">
        <v>554</v>
      </c>
      <c r="C27" s="302"/>
      <c r="D27" s="231"/>
      <c r="E27" s="302"/>
      <c r="F27" s="302"/>
      <c r="G27" s="231">
        <f aca="true" t="shared" si="2" ref="G27:M27">SUM(G28:G35)</f>
        <v>20.952046599999996</v>
      </c>
      <c r="H27" s="231">
        <f>SUM(H28:H35)</f>
        <v>16.5509986</v>
      </c>
      <c r="I27" s="231">
        <f t="shared" si="2"/>
        <v>0</v>
      </c>
      <c r="J27" s="231">
        <f t="shared" si="2"/>
        <v>0</v>
      </c>
      <c r="K27" s="231">
        <f t="shared" si="2"/>
        <v>0</v>
      </c>
      <c r="L27" s="231">
        <f t="shared" si="2"/>
        <v>16.5509986</v>
      </c>
      <c r="M27" s="231">
        <f t="shared" si="2"/>
        <v>0.33576900000000004</v>
      </c>
      <c r="N27" s="231"/>
      <c r="O27" s="231"/>
      <c r="P27" s="231"/>
    </row>
    <row r="28" spans="1:16" ht="31.5">
      <c r="A28" s="76"/>
      <c r="B28" s="447" t="s">
        <v>555</v>
      </c>
      <c r="C28" s="6" t="s">
        <v>566</v>
      </c>
      <c r="D28" s="76" t="s">
        <v>532</v>
      </c>
      <c r="E28" s="6">
        <v>2010</v>
      </c>
      <c r="F28" s="6">
        <v>2011</v>
      </c>
      <c r="G28" s="229">
        <v>16.818188</v>
      </c>
      <c r="H28" s="230">
        <f>'свод '!C12/1000</f>
        <v>12.41714</v>
      </c>
      <c r="I28" s="6" t="s">
        <v>598</v>
      </c>
      <c r="J28" s="6" t="str">
        <f aca="true" t="shared" si="3" ref="J28:J35">D28</f>
        <v>3,9 МВА</v>
      </c>
      <c r="K28" s="76" t="str">
        <f t="shared" si="1"/>
        <v>3,9 МВА</v>
      </c>
      <c r="L28" s="230">
        <f>'свод '!C12/1000</f>
        <v>12.41714</v>
      </c>
      <c r="M28" s="229">
        <v>0</v>
      </c>
      <c r="N28" s="148"/>
      <c r="O28" s="148"/>
      <c r="P28" s="148"/>
    </row>
    <row r="29" spans="1:16" s="16" customFormat="1" ht="15.75">
      <c r="A29" s="76"/>
      <c r="B29" s="447" t="s">
        <v>556</v>
      </c>
      <c r="C29" s="6" t="s">
        <v>566</v>
      </c>
      <c r="D29" s="76" t="s">
        <v>533</v>
      </c>
      <c r="E29" s="6">
        <v>2011</v>
      </c>
      <c r="F29" s="6">
        <v>2011</v>
      </c>
      <c r="G29" s="229">
        <f aca="true" t="shared" si="4" ref="G29:G35">L29</f>
        <v>0.3429552</v>
      </c>
      <c r="H29" s="230">
        <f>'свод '!C13/1000</f>
        <v>0.3429552</v>
      </c>
      <c r="I29" s="411"/>
      <c r="J29" s="6" t="str">
        <f t="shared" si="3"/>
        <v>0,4 МВА</v>
      </c>
      <c r="K29" s="76" t="str">
        <f t="shared" si="1"/>
        <v>0,4 МВА</v>
      </c>
      <c r="L29" s="230">
        <f>'свод '!C13/1000</f>
        <v>0.3429552</v>
      </c>
      <c r="M29" s="229">
        <v>0</v>
      </c>
      <c r="N29" s="649"/>
      <c r="O29" s="649"/>
      <c r="P29" s="649"/>
    </row>
    <row r="30" spans="1:16" ht="15.75">
      <c r="A30" s="76"/>
      <c r="B30" s="447" t="s">
        <v>552</v>
      </c>
      <c r="C30" s="6" t="s">
        <v>566</v>
      </c>
      <c r="D30" s="76" t="s">
        <v>534</v>
      </c>
      <c r="E30" s="6">
        <v>2011</v>
      </c>
      <c r="F30" s="6">
        <v>2011</v>
      </c>
      <c r="G30" s="229">
        <f t="shared" si="4"/>
        <v>0.4115368</v>
      </c>
      <c r="H30" s="230">
        <f>'свод '!C14/1000</f>
        <v>0.4115368</v>
      </c>
      <c r="I30" s="6" t="s">
        <v>598</v>
      </c>
      <c r="J30" s="6" t="str">
        <f t="shared" si="3"/>
        <v>1,26 МВА</v>
      </c>
      <c r="K30" s="76" t="str">
        <f t="shared" si="1"/>
        <v>1,26 МВА</v>
      </c>
      <c r="L30" s="230">
        <f>'свод '!C14/1000</f>
        <v>0.4115368</v>
      </c>
      <c r="M30" s="229">
        <v>0</v>
      </c>
      <c r="N30" s="148"/>
      <c r="O30" s="148"/>
      <c r="P30" s="148"/>
    </row>
    <row r="31" spans="1:16" s="16" customFormat="1" ht="15.75">
      <c r="A31" s="76"/>
      <c r="B31" s="447" t="s">
        <v>557</v>
      </c>
      <c r="C31" s="6" t="s">
        <v>566</v>
      </c>
      <c r="D31" s="76" t="s">
        <v>534</v>
      </c>
      <c r="E31" s="6">
        <v>2011</v>
      </c>
      <c r="F31" s="6">
        <v>2011</v>
      </c>
      <c r="G31" s="229">
        <f t="shared" si="4"/>
        <v>0.4115368</v>
      </c>
      <c r="H31" s="230">
        <f>'свод '!C15/1000</f>
        <v>0.4115368</v>
      </c>
      <c r="I31" s="411"/>
      <c r="J31" s="6" t="str">
        <f t="shared" si="3"/>
        <v>1,26 МВА</v>
      </c>
      <c r="K31" s="76" t="str">
        <f t="shared" si="1"/>
        <v>1,26 МВА</v>
      </c>
      <c r="L31" s="230">
        <f>'свод '!C15/1000</f>
        <v>0.4115368</v>
      </c>
      <c r="M31" s="229">
        <v>0</v>
      </c>
      <c r="N31" s="649"/>
      <c r="O31" s="649"/>
      <c r="P31" s="649"/>
    </row>
    <row r="32" spans="1:16" ht="31.5">
      <c r="A32" s="76"/>
      <c r="B32" s="447" t="s">
        <v>558</v>
      </c>
      <c r="C32" s="6" t="s">
        <v>566</v>
      </c>
      <c r="D32" s="76" t="s">
        <v>535</v>
      </c>
      <c r="E32" s="6">
        <v>2011</v>
      </c>
      <c r="F32" s="6">
        <v>2011</v>
      </c>
      <c r="G32" s="229">
        <f t="shared" si="4"/>
        <v>1.1947618</v>
      </c>
      <c r="H32" s="230">
        <f>'свод '!C16/1000</f>
        <v>1.1947618</v>
      </c>
      <c r="I32" s="6" t="s">
        <v>598</v>
      </c>
      <c r="J32" s="6" t="str">
        <f t="shared" si="3"/>
        <v>0,8 МВА</v>
      </c>
      <c r="K32" s="76" t="str">
        <f t="shared" si="1"/>
        <v>0,8 МВА</v>
      </c>
      <c r="L32" s="230">
        <f>'свод '!C16/1000</f>
        <v>1.1947618</v>
      </c>
      <c r="M32" s="229">
        <v>0</v>
      </c>
      <c r="N32" s="148"/>
      <c r="O32" s="148"/>
      <c r="P32" s="148"/>
    </row>
    <row r="33" spans="1:16" ht="31.5">
      <c r="A33" s="76"/>
      <c r="B33" s="209" t="s">
        <v>150</v>
      </c>
      <c r="C33" s="6" t="s">
        <v>566</v>
      </c>
      <c r="D33" s="76" t="s">
        <v>598</v>
      </c>
      <c r="E33" s="6">
        <v>2011</v>
      </c>
      <c r="F33" s="6">
        <v>2011</v>
      </c>
      <c r="G33" s="229">
        <f t="shared" si="4"/>
        <v>0.59</v>
      </c>
      <c r="H33" s="230">
        <f>'свод '!C28/1000</f>
        <v>0.59</v>
      </c>
      <c r="I33" s="6" t="s">
        <v>598</v>
      </c>
      <c r="J33" s="6" t="str">
        <f t="shared" si="3"/>
        <v>-</v>
      </c>
      <c r="K33" s="76" t="str">
        <f t="shared" si="1"/>
        <v>-</v>
      </c>
      <c r="L33" s="230">
        <f>'свод '!C28/1000</f>
        <v>0.59</v>
      </c>
      <c r="M33" s="229">
        <f>0.28455*1.18</f>
        <v>0.33576900000000004</v>
      </c>
      <c r="N33" s="148"/>
      <c r="O33" s="148"/>
      <c r="P33" s="148"/>
    </row>
    <row r="34" spans="1:16" s="542" customFormat="1" ht="15.75">
      <c r="A34" s="539"/>
      <c r="B34" s="209" t="s">
        <v>151</v>
      </c>
      <c r="C34" s="532" t="s">
        <v>566</v>
      </c>
      <c r="D34" s="539"/>
      <c r="E34" s="532">
        <v>2011</v>
      </c>
      <c r="F34" s="532">
        <v>2011</v>
      </c>
      <c r="G34" s="540">
        <f t="shared" si="4"/>
        <v>0.70505</v>
      </c>
      <c r="H34" s="541">
        <f>'свод '!C31/1000</f>
        <v>0.70505</v>
      </c>
      <c r="I34" s="532" t="s">
        <v>598</v>
      </c>
      <c r="J34" s="532">
        <f t="shared" si="3"/>
        <v>0</v>
      </c>
      <c r="K34" s="539">
        <f t="shared" si="1"/>
        <v>0</v>
      </c>
      <c r="L34" s="541">
        <f>'свод '!C31/1000</f>
        <v>0.70505</v>
      </c>
      <c r="M34" s="540">
        <v>0</v>
      </c>
      <c r="N34" s="650"/>
      <c r="O34" s="650"/>
      <c r="P34" s="650"/>
    </row>
    <row r="35" spans="1:16" s="542" customFormat="1" ht="15.75">
      <c r="A35" s="539"/>
      <c r="B35" s="209" t="s">
        <v>147</v>
      </c>
      <c r="C35" s="532" t="s">
        <v>566</v>
      </c>
      <c r="D35" s="539"/>
      <c r="E35" s="532">
        <v>2011</v>
      </c>
      <c r="F35" s="532">
        <v>2011</v>
      </c>
      <c r="G35" s="540">
        <f t="shared" si="4"/>
        <v>0.47801800000000005</v>
      </c>
      <c r="H35" s="541">
        <f>'свод '!C32/1000</f>
        <v>0.47801800000000005</v>
      </c>
      <c r="I35" s="532" t="s">
        <v>598</v>
      </c>
      <c r="J35" s="532">
        <f t="shared" si="3"/>
        <v>0</v>
      </c>
      <c r="K35" s="539">
        <f t="shared" si="1"/>
        <v>0</v>
      </c>
      <c r="L35" s="541">
        <f>'свод '!C32/1000</f>
        <v>0.47801800000000005</v>
      </c>
      <c r="M35" s="540">
        <v>0</v>
      </c>
      <c r="N35" s="650"/>
      <c r="O35" s="650"/>
      <c r="P35" s="650"/>
    </row>
    <row r="36" spans="1:16" ht="31.5">
      <c r="A36" s="581" t="s">
        <v>614</v>
      </c>
      <c r="B36" s="216" t="s">
        <v>179</v>
      </c>
      <c r="C36" s="454"/>
      <c r="D36" s="452"/>
      <c r="E36" s="454"/>
      <c r="F36" s="454"/>
      <c r="G36" s="232">
        <f>G37+G40+G46+G44</f>
        <v>58.3431994</v>
      </c>
      <c r="H36" s="232">
        <f>H37+H40+H46+H44</f>
        <v>51.75371440000001</v>
      </c>
      <c r="I36" s="232"/>
      <c r="J36" s="232">
        <f>J37+J40+J46</f>
        <v>0</v>
      </c>
      <c r="K36" s="232">
        <f>K37+K40+K46</f>
        <v>0</v>
      </c>
      <c r="L36" s="232">
        <f>L37+L40+L46+L44</f>
        <v>51.75371440000001</v>
      </c>
      <c r="M36" s="232">
        <f>M37+M40+M46+M44</f>
        <v>0.0724402</v>
      </c>
      <c r="N36" s="232"/>
      <c r="O36" s="232"/>
      <c r="P36" s="232"/>
    </row>
    <row r="37" spans="1:16" ht="15.75">
      <c r="A37" s="222" t="s">
        <v>615</v>
      </c>
      <c r="B37" s="205" t="s">
        <v>550</v>
      </c>
      <c r="C37" s="302"/>
      <c r="D37" s="222"/>
      <c r="E37" s="302"/>
      <c r="F37" s="302"/>
      <c r="G37" s="231">
        <f aca="true" t="shared" si="5" ref="G37:M37">SUM(G38:G39)</f>
        <v>3.3318479999999995</v>
      </c>
      <c r="H37" s="231">
        <f>SUM(H38:H39)</f>
        <v>3.3318479999999995</v>
      </c>
      <c r="I37" s="231">
        <f t="shared" si="5"/>
        <v>0</v>
      </c>
      <c r="J37" s="231">
        <f t="shared" si="5"/>
        <v>0</v>
      </c>
      <c r="K37" s="231">
        <f t="shared" si="5"/>
        <v>0</v>
      </c>
      <c r="L37" s="231">
        <f t="shared" si="5"/>
        <v>3.3318479999999995</v>
      </c>
      <c r="M37" s="231">
        <f t="shared" si="5"/>
        <v>0.0106436</v>
      </c>
      <c r="N37" s="231"/>
      <c r="O37" s="231"/>
      <c r="P37" s="231"/>
    </row>
    <row r="38" spans="1:16" ht="15.75">
      <c r="A38" s="6"/>
      <c r="B38" s="206" t="s">
        <v>551</v>
      </c>
      <c r="C38" s="6" t="s">
        <v>566</v>
      </c>
      <c r="D38" s="6" t="s">
        <v>162</v>
      </c>
      <c r="E38" s="6">
        <v>2011</v>
      </c>
      <c r="F38" s="6">
        <v>2011</v>
      </c>
      <c r="G38" s="229">
        <f>L38</f>
        <v>0.9970173999999998</v>
      </c>
      <c r="H38" s="230">
        <f>'свод '!C7/1000</f>
        <v>0.9970173999999998</v>
      </c>
      <c r="I38" s="6" t="s">
        <v>598</v>
      </c>
      <c r="J38" s="6" t="str">
        <f>D38</f>
        <v>0,55 км</v>
      </c>
      <c r="K38" s="76" t="str">
        <f t="shared" si="1"/>
        <v>0,55 км</v>
      </c>
      <c r="L38" s="230">
        <f>'свод '!C7/1000</f>
        <v>0.9970173999999998</v>
      </c>
      <c r="M38" s="229">
        <f>0.00451*1.18</f>
        <v>0.0053218</v>
      </c>
      <c r="N38" s="148"/>
      <c r="O38" s="148"/>
      <c r="P38" s="148"/>
    </row>
    <row r="39" spans="1:16" ht="15.75">
      <c r="A39" s="76"/>
      <c r="B39" s="206" t="s">
        <v>552</v>
      </c>
      <c r="C39" s="6" t="s">
        <v>566</v>
      </c>
      <c r="D39" s="76" t="s">
        <v>163</v>
      </c>
      <c r="E39" s="6">
        <v>2011</v>
      </c>
      <c r="F39" s="6">
        <v>2011</v>
      </c>
      <c r="G39" s="229">
        <f>L39</f>
        <v>2.3348305999999996</v>
      </c>
      <c r="H39" s="230">
        <f>'свод '!C8/1000</f>
        <v>2.3348305999999996</v>
      </c>
      <c r="I39" s="6" t="s">
        <v>598</v>
      </c>
      <c r="J39" s="6" t="str">
        <f>D39</f>
        <v>1,288 км</v>
      </c>
      <c r="K39" s="76" t="str">
        <f t="shared" si="1"/>
        <v>1,288 км</v>
      </c>
      <c r="L39" s="230">
        <f>'свод '!C8/1000</f>
        <v>2.3348305999999996</v>
      </c>
      <c r="M39" s="229">
        <f>0.00451*1.18</f>
        <v>0.0053218</v>
      </c>
      <c r="N39" s="148"/>
      <c r="O39" s="148"/>
      <c r="P39" s="148"/>
    </row>
    <row r="40" spans="1:16" ht="15.75">
      <c r="A40" s="224" t="s">
        <v>616</v>
      </c>
      <c r="B40" s="210" t="s">
        <v>559</v>
      </c>
      <c r="C40" s="302"/>
      <c r="D40" s="224"/>
      <c r="E40" s="302"/>
      <c r="F40" s="302"/>
      <c r="G40" s="231">
        <f aca="true" t="shared" si="6" ref="G40:M40">SUM(G41:G43)</f>
        <v>26.1839514</v>
      </c>
      <c r="H40" s="231">
        <f>SUM(H41:H43)</f>
        <v>19.5944664</v>
      </c>
      <c r="I40" s="231">
        <f t="shared" si="6"/>
        <v>0</v>
      </c>
      <c r="J40" s="231">
        <f t="shared" si="6"/>
        <v>0</v>
      </c>
      <c r="K40" s="231">
        <f t="shared" si="6"/>
        <v>0</v>
      </c>
      <c r="L40" s="231">
        <f t="shared" si="6"/>
        <v>19.5944664</v>
      </c>
      <c r="M40" s="231">
        <f t="shared" si="6"/>
        <v>0.06179659999999999</v>
      </c>
      <c r="N40" s="231"/>
      <c r="O40" s="231"/>
      <c r="P40" s="231"/>
    </row>
    <row r="41" spans="1:16" s="16" customFormat="1" ht="31.5">
      <c r="A41" s="76"/>
      <c r="B41" s="446" t="s">
        <v>560</v>
      </c>
      <c r="C41" s="6" t="s">
        <v>566</v>
      </c>
      <c r="D41" s="76" t="s">
        <v>530</v>
      </c>
      <c r="E41" s="6">
        <v>2011</v>
      </c>
      <c r="F41" s="6">
        <v>2011</v>
      </c>
      <c r="G41" s="229">
        <f>L41</f>
        <v>12.6092794</v>
      </c>
      <c r="H41" s="229">
        <f>'свод '!C19/1000</f>
        <v>12.6092794</v>
      </c>
      <c r="I41" s="227"/>
      <c r="J41" s="6" t="str">
        <f>D41</f>
        <v>4,6км/0,4МВт</v>
      </c>
      <c r="K41" s="6" t="str">
        <f t="shared" si="1"/>
        <v>4,6км/0,4МВт</v>
      </c>
      <c r="L41" s="229">
        <f>'свод '!C19/1000</f>
        <v>12.6092794</v>
      </c>
      <c r="M41" s="229">
        <f>0.05237*1.18</f>
        <v>0.06179659999999999</v>
      </c>
      <c r="N41" s="649"/>
      <c r="O41" s="649"/>
      <c r="P41" s="649"/>
    </row>
    <row r="42" spans="1:16" s="16" customFormat="1" ht="15.75">
      <c r="A42" s="76"/>
      <c r="B42" s="446" t="s">
        <v>54</v>
      </c>
      <c r="C42" s="6" t="s">
        <v>566</v>
      </c>
      <c r="D42" s="76" t="s">
        <v>55</v>
      </c>
      <c r="E42" s="6">
        <v>2011</v>
      </c>
      <c r="F42" s="6">
        <v>2011</v>
      </c>
      <c r="G42" s="229">
        <v>8.217</v>
      </c>
      <c r="H42" s="229">
        <f>'свод '!C25/1000</f>
        <v>1.6275149999999998</v>
      </c>
      <c r="I42" s="227"/>
      <c r="J42" s="6" t="str">
        <f>D42</f>
        <v>0,78 км</v>
      </c>
      <c r="K42" s="457" t="str">
        <f t="shared" si="1"/>
        <v>0,78 км</v>
      </c>
      <c r="L42" s="229">
        <f>'свод '!C25/1000</f>
        <v>1.6275149999999998</v>
      </c>
      <c r="M42" s="229">
        <v>0</v>
      </c>
      <c r="N42" s="649"/>
      <c r="O42" s="649"/>
      <c r="P42" s="649"/>
    </row>
    <row r="43" spans="1:16" s="545" customFormat="1" ht="47.25">
      <c r="A43" s="539"/>
      <c r="B43" s="543" t="s">
        <v>152</v>
      </c>
      <c r="C43" s="532" t="s">
        <v>566</v>
      </c>
      <c r="D43" s="539" t="s">
        <v>441</v>
      </c>
      <c r="E43" s="532">
        <v>2011</v>
      </c>
      <c r="F43" s="532">
        <v>2011</v>
      </c>
      <c r="G43" s="540">
        <f>L43</f>
        <v>5.357672</v>
      </c>
      <c r="H43" s="540">
        <f>'свод '!C33/1000</f>
        <v>5.357672</v>
      </c>
      <c r="I43" s="544"/>
      <c r="J43" s="532" t="str">
        <f>D43</f>
        <v>2,95 км</v>
      </c>
      <c r="K43" s="533" t="str">
        <f t="shared" si="1"/>
        <v>2,95 км</v>
      </c>
      <c r="L43" s="540">
        <f>'свод '!C33/1000</f>
        <v>5.357672</v>
      </c>
      <c r="M43" s="540">
        <v>0</v>
      </c>
      <c r="N43" s="651"/>
      <c r="O43" s="651"/>
      <c r="P43" s="651"/>
    </row>
    <row r="44" spans="1:16" ht="15.75">
      <c r="A44" s="224" t="s">
        <v>617</v>
      </c>
      <c r="B44" s="210" t="s">
        <v>674</v>
      </c>
      <c r="C44" s="302"/>
      <c r="D44" s="453"/>
      <c r="E44" s="302"/>
      <c r="F44" s="302"/>
      <c r="G44" s="231">
        <f aca="true" t="shared" si="7" ref="G44:M44">G45</f>
        <v>17.027399999999997</v>
      </c>
      <c r="H44" s="231">
        <f t="shared" si="7"/>
        <v>17.027399999999997</v>
      </c>
      <c r="I44" s="231" t="str">
        <f t="shared" si="7"/>
        <v>-</v>
      </c>
      <c r="J44" s="231" t="str">
        <f t="shared" si="7"/>
        <v>3 МВА</v>
      </c>
      <c r="K44" s="231" t="str">
        <f t="shared" si="7"/>
        <v>3 МВА</v>
      </c>
      <c r="L44" s="231">
        <f t="shared" si="7"/>
        <v>17.027399999999997</v>
      </c>
      <c r="M44" s="231">
        <f t="shared" si="7"/>
        <v>0</v>
      </c>
      <c r="N44" s="231"/>
      <c r="O44" s="231"/>
      <c r="P44" s="231"/>
    </row>
    <row r="45" spans="1:16" ht="31.5">
      <c r="A45" s="76"/>
      <c r="B45" s="208" t="s">
        <v>685</v>
      </c>
      <c r="C45" s="6" t="s">
        <v>566</v>
      </c>
      <c r="D45" s="76" t="s">
        <v>536</v>
      </c>
      <c r="E45" s="6">
        <v>2011</v>
      </c>
      <c r="F45" s="6">
        <v>2011</v>
      </c>
      <c r="G45" s="229">
        <f>L45</f>
        <v>17.027399999999997</v>
      </c>
      <c r="H45" s="230">
        <f>'свод '!C20/1000</f>
        <v>17.027399999999997</v>
      </c>
      <c r="I45" s="6" t="s">
        <v>598</v>
      </c>
      <c r="J45" s="6" t="str">
        <f>D45</f>
        <v>3 МВА</v>
      </c>
      <c r="K45" s="76" t="str">
        <f>J45</f>
        <v>3 МВА</v>
      </c>
      <c r="L45" s="230">
        <f>'свод '!C20/1000</f>
        <v>17.027399999999997</v>
      </c>
      <c r="M45" s="229">
        <v>0</v>
      </c>
      <c r="N45" s="148"/>
      <c r="O45" s="148"/>
      <c r="P45" s="148"/>
    </row>
    <row r="46" spans="1:16" ht="15.75">
      <c r="A46" s="224" t="s">
        <v>618</v>
      </c>
      <c r="B46" s="210" t="s">
        <v>659</v>
      </c>
      <c r="C46" s="302"/>
      <c r="D46" s="453"/>
      <c r="E46" s="302"/>
      <c r="F46" s="302"/>
      <c r="G46" s="231">
        <f aca="true" t="shared" si="8" ref="G46:M46">G53</f>
        <v>11.8</v>
      </c>
      <c r="H46" s="231">
        <f t="shared" si="8"/>
        <v>11.8</v>
      </c>
      <c r="I46" s="231" t="str">
        <f t="shared" si="8"/>
        <v>-</v>
      </c>
      <c r="J46" s="231">
        <f t="shared" si="8"/>
        <v>0</v>
      </c>
      <c r="K46" s="231">
        <f t="shared" si="8"/>
        <v>0</v>
      </c>
      <c r="L46" s="231">
        <f t="shared" si="8"/>
        <v>11.8</v>
      </c>
      <c r="M46" s="231">
        <f t="shared" si="8"/>
        <v>0</v>
      </c>
      <c r="N46" s="231"/>
      <c r="O46" s="231"/>
      <c r="P46" s="231"/>
    </row>
    <row r="47" spans="1:16" s="657" customFormat="1" ht="47.25">
      <c r="A47" s="532" t="s">
        <v>684</v>
      </c>
      <c r="B47" s="209" t="s">
        <v>696</v>
      </c>
      <c r="C47" s="654" t="s">
        <v>566</v>
      </c>
      <c r="D47" s="655"/>
      <c r="E47" s="654">
        <v>2011</v>
      </c>
      <c r="F47" s="654">
        <v>2011</v>
      </c>
      <c r="G47" s="658">
        <f aca="true" t="shared" si="9" ref="G47:H50">0.5*1.18</f>
        <v>0.59</v>
      </c>
      <c r="H47" s="658">
        <f t="shared" si="9"/>
        <v>0.59</v>
      </c>
      <c r="I47" s="658" t="s">
        <v>598</v>
      </c>
      <c r="J47" s="658"/>
      <c r="K47" s="658"/>
      <c r="L47" s="658">
        <f>0.5*1.18</f>
        <v>0.59</v>
      </c>
      <c r="M47" s="658">
        <v>0</v>
      </c>
      <c r="N47" s="656"/>
      <c r="O47" s="656"/>
      <c r="P47" s="656"/>
    </row>
    <row r="48" spans="1:16" s="657" customFormat="1" ht="47.25">
      <c r="A48" s="532" t="s">
        <v>697</v>
      </c>
      <c r="B48" s="209" t="s">
        <v>698</v>
      </c>
      <c r="C48" s="654" t="s">
        <v>566</v>
      </c>
      <c r="D48" s="655"/>
      <c r="E48" s="654">
        <v>2011</v>
      </c>
      <c r="F48" s="654">
        <v>2011</v>
      </c>
      <c r="G48" s="658">
        <f t="shared" si="9"/>
        <v>0.59</v>
      </c>
      <c r="H48" s="658">
        <f t="shared" si="9"/>
        <v>0.59</v>
      </c>
      <c r="I48" s="658" t="s">
        <v>598</v>
      </c>
      <c r="J48" s="658"/>
      <c r="K48" s="658"/>
      <c r="L48" s="658">
        <f>0.5*1.18</f>
        <v>0.59</v>
      </c>
      <c r="M48" s="658">
        <v>0</v>
      </c>
      <c r="N48" s="656"/>
      <c r="O48" s="656"/>
      <c r="P48" s="656"/>
    </row>
    <row r="49" spans="1:16" s="657" customFormat="1" ht="63">
      <c r="A49" s="532" t="s">
        <v>699</v>
      </c>
      <c r="B49" s="209" t="s">
        <v>700</v>
      </c>
      <c r="C49" s="654" t="s">
        <v>566</v>
      </c>
      <c r="D49" s="655"/>
      <c r="E49" s="654">
        <v>2011</v>
      </c>
      <c r="F49" s="654">
        <v>2011</v>
      </c>
      <c r="G49" s="658">
        <f t="shared" si="9"/>
        <v>0.59</v>
      </c>
      <c r="H49" s="658">
        <f t="shared" si="9"/>
        <v>0.59</v>
      </c>
      <c r="I49" s="658" t="s">
        <v>598</v>
      </c>
      <c r="J49" s="658"/>
      <c r="K49" s="658"/>
      <c r="L49" s="658">
        <f>0.5*1.18</f>
        <v>0.59</v>
      </c>
      <c r="M49" s="658">
        <v>0</v>
      </c>
      <c r="N49" s="656"/>
      <c r="O49" s="656"/>
      <c r="P49" s="656"/>
    </row>
    <row r="50" spans="1:16" s="657" customFormat="1" ht="15.75">
      <c r="A50" s="532" t="s">
        <v>701</v>
      </c>
      <c r="B50" s="209" t="s">
        <v>702</v>
      </c>
      <c r="C50" s="654" t="s">
        <v>566</v>
      </c>
      <c r="D50" s="655"/>
      <c r="E50" s="654">
        <v>2011</v>
      </c>
      <c r="F50" s="654">
        <v>2011</v>
      </c>
      <c r="G50" s="658">
        <f t="shared" si="9"/>
        <v>0.59</v>
      </c>
      <c r="H50" s="658">
        <f t="shared" si="9"/>
        <v>0.59</v>
      </c>
      <c r="I50" s="658" t="s">
        <v>598</v>
      </c>
      <c r="J50" s="658"/>
      <c r="K50" s="658"/>
      <c r="L50" s="658">
        <f>0.5*1.18</f>
        <v>0.59</v>
      </c>
      <c r="M50" s="658">
        <v>0</v>
      </c>
      <c r="N50" s="656"/>
      <c r="O50" s="656"/>
      <c r="P50" s="656"/>
    </row>
    <row r="51" spans="1:16" s="657" customFormat="1" ht="15.75">
      <c r="A51" s="652"/>
      <c r="B51" s="653"/>
      <c r="C51" s="654"/>
      <c r="D51" s="655"/>
      <c r="E51" s="654"/>
      <c r="F51" s="654"/>
      <c r="G51" s="656"/>
      <c r="H51" s="656"/>
      <c r="I51" s="656"/>
      <c r="J51" s="656"/>
      <c r="K51" s="656"/>
      <c r="L51" s="656"/>
      <c r="M51" s="656"/>
      <c r="N51" s="656"/>
      <c r="O51" s="656"/>
      <c r="P51" s="656"/>
    </row>
    <row r="52" spans="1:16" s="657" customFormat="1" ht="15.75">
      <c r="A52" s="652"/>
      <c r="B52" s="653"/>
      <c r="C52" s="654"/>
      <c r="D52" s="655"/>
      <c r="E52" s="654"/>
      <c r="F52" s="654"/>
      <c r="G52" s="656"/>
      <c r="H52" s="656"/>
      <c r="I52" s="656"/>
      <c r="J52" s="656"/>
      <c r="K52" s="656"/>
      <c r="L52" s="656"/>
      <c r="M52" s="656"/>
      <c r="N52" s="656"/>
      <c r="O52" s="656"/>
      <c r="P52" s="656"/>
    </row>
    <row r="53" spans="1:16" ht="31.5">
      <c r="A53" s="600"/>
      <c r="B53" s="209" t="s">
        <v>56</v>
      </c>
      <c r="C53" s="6" t="s">
        <v>566</v>
      </c>
      <c r="D53" s="6"/>
      <c r="E53" s="6">
        <v>2011</v>
      </c>
      <c r="F53" s="6">
        <v>2011</v>
      </c>
      <c r="G53" s="229">
        <f>L53</f>
        <v>11.8</v>
      </c>
      <c r="H53" s="229">
        <f>'свод '!D37/1000</f>
        <v>11.8</v>
      </c>
      <c r="I53" s="6" t="s">
        <v>598</v>
      </c>
      <c r="J53" s="6"/>
      <c r="K53" s="6"/>
      <c r="L53" s="229">
        <f>'свод '!D37/1000</f>
        <v>11.8</v>
      </c>
      <c r="M53" s="229">
        <v>0</v>
      </c>
      <c r="N53" s="148"/>
      <c r="O53" s="148"/>
      <c r="P53" s="148"/>
    </row>
    <row r="54" spans="1:16" ht="31.5">
      <c r="A54" s="216" t="s">
        <v>80</v>
      </c>
      <c r="B54" s="218" t="s">
        <v>564</v>
      </c>
      <c r="C54" s="454"/>
      <c r="D54" s="456"/>
      <c r="E54" s="454"/>
      <c r="F54" s="454"/>
      <c r="G54" s="455"/>
      <c r="H54" s="454" t="s">
        <v>598</v>
      </c>
      <c r="I54" s="454" t="s">
        <v>598</v>
      </c>
      <c r="J54" s="456"/>
      <c r="K54" s="456"/>
      <c r="L54" s="232">
        <f>('свод '!C27+'свод '!C23)/1000</f>
        <v>2.2746859999999995</v>
      </c>
      <c r="M54" s="232">
        <v>0</v>
      </c>
      <c r="N54" s="232"/>
      <c r="O54" s="232"/>
      <c r="P54" s="232"/>
    </row>
    <row r="55" spans="1:16" ht="31.5">
      <c r="A55" s="583" t="s">
        <v>82</v>
      </c>
      <c r="B55" s="218" t="s">
        <v>153</v>
      </c>
      <c r="C55" s="454"/>
      <c r="D55" s="456"/>
      <c r="E55" s="454"/>
      <c r="F55" s="454"/>
      <c r="G55" s="455"/>
      <c r="H55" s="454" t="s">
        <v>598</v>
      </c>
      <c r="I55" s="454" t="s">
        <v>598</v>
      </c>
      <c r="J55" s="456"/>
      <c r="K55" s="456"/>
      <c r="L55" s="232">
        <f>'свод '!C26/1000</f>
        <v>0.59</v>
      </c>
      <c r="M55" s="232">
        <v>0</v>
      </c>
      <c r="N55" s="232"/>
      <c r="O55" s="232"/>
      <c r="P55" s="232"/>
    </row>
    <row r="56" spans="1:16" ht="31.5">
      <c r="A56" s="583" t="s">
        <v>92</v>
      </c>
      <c r="B56" s="220" t="s">
        <v>565</v>
      </c>
      <c r="C56" s="454"/>
      <c r="D56" s="456"/>
      <c r="E56" s="454"/>
      <c r="F56" s="454"/>
      <c r="G56" s="455"/>
      <c r="H56" s="456" t="s">
        <v>598</v>
      </c>
      <c r="I56" s="456" t="s">
        <v>598</v>
      </c>
      <c r="J56" s="456"/>
      <c r="K56" s="456"/>
      <c r="L56" s="232">
        <f>SUM(L57:L59)</f>
        <v>17.7399548</v>
      </c>
      <c r="M56" s="232">
        <f>SUM(M57:M59)</f>
        <v>0.1099406</v>
      </c>
      <c r="N56" s="232"/>
      <c r="O56" s="232"/>
      <c r="P56" s="232"/>
    </row>
    <row r="57" spans="1:16" s="16" customFormat="1" ht="15.75">
      <c r="A57" s="76"/>
      <c r="B57" s="213" t="s">
        <v>561</v>
      </c>
      <c r="C57" s="6" t="s">
        <v>567</v>
      </c>
      <c r="D57" s="78"/>
      <c r="E57" s="27"/>
      <c r="F57" s="27"/>
      <c r="G57" s="411"/>
      <c r="H57" s="138"/>
      <c r="I57" s="411"/>
      <c r="J57" s="78"/>
      <c r="K57" s="76"/>
      <c r="L57" s="230">
        <f>'свод '!C21/1000+'свод '!C22/1000</f>
        <v>16.609986799999998</v>
      </c>
      <c r="M57" s="229">
        <f>0.09317*1.18</f>
        <v>0.1099406</v>
      </c>
      <c r="N57" s="649"/>
      <c r="O57" s="649"/>
      <c r="P57" s="649"/>
    </row>
    <row r="58" spans="1:16" ht="15.75">
      <c r="A58" s="6"/>
      <c r="B58" s="213" t="s">
        <v>562</v>
      </c>
      <c r="C58" s="6" t="s">
        <v>567</v>
      </c>
      <c r="D58" s="6"/>
      <c r="E58" s="6"/>
      <c r="F58" s="6"/>
      <c r="G58" s="230"/>
      <c r="H58" s="6" t="s">
        <v>598</v>
      </c>
      <c r="I58" s="6" t="s">
        <v>598</v>
      </c>
      <c r="J58" s="6"/>
      <c r="K58" s="6"/>
      <c r="L58" s="229">
        <f>'свод '!C29/1000</f>
        <v>0</v>
      </c>
      <c r="M58" s="229">
        <v>0</v>
      </c>
      <c r="N58" s="148"/>
      <c r="O58" s="148"/>
      <c r="P58" s="148"/>
    </row>
    <row r="59" spans="1:16" ht="15.75">
      <c r="A59" s="6"/>
      <c r="B59" s="213" t="s">
        <v>563</v>
      </c>
      <c r="C59" s="6" t="s">
        <v>567</v>
      </c>
      <c r="D59" s="6"/>
      <c r="E59" s="6"/>
      <c r="F59" s="6"/>
      <c r="G59" s="229"/>
      <c r="H59" s="6" t="s">
        <v>598</v>
      </c>
      <c r="I59" s="6" t="s">
        <v>598</v>
      </c>
      <c r="J59" s="6"/>
      <c r="K59" s="6"/>
      <c r="L59" s="229">
        <f>'свод '!C35/1000</f>
        <v>1.129968000000001</v>
      </c>
      <c r="M59" s="229">
        <v>0</v>
      </c>
      <c r="N59" s="148"/>
      <c r="O59" s="148"/>
      <c r="P59" s="148"/>
    </row>
    <row r="60" spans="1:13" ht="15.75">
      <c r="A60" s="28"/>
      <c r="B60" s="13"/>
      <c r="C60" s="13"/>
      <c r="D60" s="35"/>
      <c r="E60" s="35"/>
      <c r="F60" s="35"/>
      <c r="G60" s="35"/>
      <c r="H60" s="35"/>
      <c r="I60" s="35"/>
      <c r="J60" s="13"/>
      <c r="K60" s="13"/>
      <c r="L60" s="28"/>
      <c r="M60" s="28"/>
    </row>
    <row r="61" spans="1:13" ht="15.75">
      <c r="A61" s="28"/>
      <c r="B61" s="13"/>
      <c r="C61" s="13"/>
      <c r="D61" s="35"/>
      <c r="E61" s="35"/>
      <c r="F61" s="35"/>
      <c r="G61" s="35"/>
      <c r="H61" s="35"/>
      <c r="I61" s="35"/>
      <c r="J61" s="13"/>
      <c r="K61" s="13"/>
      <c r="L61" s="28"/>
      <c r="M61" s="28"/>
    </row>
    <row r="62" spans="1:13" ht="15.75">
      <c r="A62" s="28"/>
      <c r="B62" s="1" t="s">
        <v>125</v>
      </c>
      <c r="I62" s="35"/>
      <c r="J62" s="13"/>
      <c r="K62" s="13"/>
      <c r="L62" s="28"/>
      <c r="M62" s="28"/>
    </row>
    <row r="63" spans="1:13" ht="15.75">
      <c r="A63" s="28"/>
      <c r="B63" s="1" t="s">
        <v>393</v>
      </c>
      <c r="I63" s="35"/>
      <c r="J63" s="13"/>
      <c r="K63" s="13"/>
      <c r="L63" s="28"/>
      <c r="M63" s="28"/>
    </row>
    <row r="64" spans="1:13" ht="15.75">
      <c r="A64" s="28"/>
      <c r="B64" s="35" t="s">
        <v>394</v>
      </c>
      <c r="I64" s="35"/>
      <c r="J64" s="13"/>
      <c r="K64" s="13"/>
      <c r="L64" s="28"/>
      <c r="M64" s="28"/>
    </row>
    <row r="65" spans="1:13" ht="15.75">
      <c r="A65" s="28"/>
      <c r="B65" s="901" t="s">
        <v>295</v>
      </c>
      <c r="C65" s="901"/>
      <c r="D65" s="901"/>
      <c r="E65" s="901"/>
      <c r="F65" s="901"/>
      <c r="G65" s="901"/>
      <c r="H65" s="901"/>
      <c r="I65" s="35"/>
      <c r="J65" s="13"/>
      <c r="K65" s="13"/>
      <c r="L65" s="28"/>
      <c r="M65" s="28"/>
    </row>
    <row r="66" spans="1:13" ht="15.75">
      <c r="A66" s="28"/>
      <c r="B66" s="135"/>
      <c r="C66" s="135"/>
      <c r="D66" s="135"/>
      <c r="E66" s="135"/>
      <c r="F66" s="135"/>
      <c r="G66" s="135"/>
      <c r="H66" s="135"/>
      <c r="I66" s="35"/>
      <c r="J66" s="13"/>
      <c r="K66" s="13"/>
      <c r="L66" s="28"/>
      <c r="M66" s="28"/>
    </row>
    <row r="67" spans="1:13" ht="15.75">
      <c r="A67" s="28"/>
      <c r="B67" s="901" t="s">
        <v>300</v>
      </c>
      <c r="C67" s="901"/>
      <c r="D67" s="901"/>
      <c r="E67" s="901"/>
      <c r="F67" s="901"/>
      <c r="G67" s="901"/>
      <c r="H67" s="901"/>
      <c r="I67" s="35"/>
      <c r="J67" s="13"/>
      <c r="K67" s="13"/>
      <c r="L67" s="28"/>
      <c r="M67" s="28"/>
    </row>
    <row r="68" spans="1:13" ht="15.75">
      <c r="A68" s="28"/>
      <c r="B68" s="13"/>
      <c r="C68" s="13"/>
      <c r="D68" s="35"/>
      <c r="E68" s="35"/>
      <c r="F68" s="35"/>
      <c r="G68" s="35"/>
      <c r="H68" s="35"/>
      <c r="I68" s="35"/>
      <c r="J68" s="13"/>
      <c r="K68" s="13"/>
      <c r="L68" s="28"/>
      <c r="M68" s="28"/>
    </row>
    <row r="69" spans="1:13" ht="15.75">
      <c r="A69" s="28"/>
      <c r="B69" s="13"/>
      <c r="C69" s="13"/>
      <c r="D69" s="35"/>
      <c r="E69" s="35"/>
      <c r="F69" s="35"/>
      <c r="G69" s="35"/>
      <c r="H69" s="35"/>
      <c r="I69" s="35"/>
      <c r="J69" s="13"/>
      <c r="K69" s="13"/>
      <c r="L69" s="28"/>
      <c r="M69" s="28"/>
    </row>
    <row r="70" spans="1:13" ht="15.75">
      <c r="A70" s="28"/>
      <c r="B70" s="899"/>
      <c r="C70" s="899"/>
      <c r="D70" s="899"/>
      <c r="E70" s="899"/>
      <c r="F70" s="899"/>
      <c r="G70" s="899"/>
      <c r="H70" s="35"/>
      <c r="I70" s="35"/>
      <c r="J70" s="13"/>
      <c r="K70" s="13"/>
      <c r="L70" s="28"/>
      <c r="M70" s="28"/>
    </row>
    <row r="71" spans="1:13" ht="15.75">
      <c r="A71" s="28"/>
      <c r="B71" s="568"/>
      <c r="C71" s="568"/>
      <c r="D71" s="568"/>
      <c r="E71" s="568"/>
      <c r="F71" s="586"/>
      <c r="G71" s="568"/>
      <c r="H71" s="35"/>
      <c r="I71" s="35"/>
      <c r="J71" s="13"/>
      <c r="K71" s="13"/>
      <c r="L71" s="28"/>
      <c r="M71" s="28"/>
    </row>
    <row r="72" spans="1:13" ht="15.75">
      <c r="A72" s="28"/>
      <c r="B72" s="568"/>
      <c r="C72" s="568"/>
      <c r="D72" s="568"/>
      <c r="E72" s="568"/>
      <c r="F72" s="586"/>
      <c r="G72" s="568"/>
      <c r="H72" s="35"/>
      <c r="I72" s="35"/>
      <c r="J72" s="13"/>
      <c r="K72" s="13"/>
      <c r="L72" s="28"/>
      <c r="M72" s="28"/>
    </row>
    <row r="73" spans="1:13" ht="15.75">
      <c r="A73" s="28"/>
      <c r="B73" s="568"/>
      <c r="C73" s="568"/>
      <c r="D73" s="568"/>
      <c r="E73" s="568"/>
      <c r="F73" s="586"/>
      <c r="G73" s="568"/>
      <c r="H73" s="35"/>
      <c r="I73" s="35"/>
      <c r="J73" s="13"/>
      <c r="K73" s="13"/>
      <c r="L73" s="28"/>
      <c r="M73" s="28"/>
    </row>
    <row r="74" spans="1:13" ht="15.75">
      <c r="A74" s="28"/>
      <c r="B74" s="899"/>
      <c r="C74" s="899"/>
      <c r="D74" s="899"/>
      <c r="E74" s="899"/>
      <c r="F74" s="586"/>
      <c r="G74" s="566"/>
      <c r="H74" s="35"/>
      <c r="I74" s="35"/>
      <c r="J74" s="13"/>
      <c r="K74" s="13"/>
      <c r="L74" s="28"/>
      <c r="M74" s="28"/>
    </row>
    <row r="75" spans="1:13" ht="15.75">
      <c r="A75" s="28"/>
      <c r="B75" s="572"/>
      <c r="C75" s="572"/>
      <c r="D75" s="572"/>
      <c r="E75" s="572"/>
      <c r="F75" s="572"/>
      <c r="G75" s="572"/>
      <c r="H75" s="35"/>
      <c r="I75" s="35"/>
      <c r="J75" s="13"/>
      <c r="K75" s="13"/>
      <c r="L75" s="28"/>
      <c r="M75" s="28"/>
    </row>
    <row r="76" spans="1:13" ht="15.75">
      <c r="A76" s="28"/>
      <c r="B76" s="899"/>
      <c r="C76" s="899"/>
      <c r="D76" s="899"/>
      <c r="E76" s="899"/>
      <c r="F76" s="586"/>
      <c r="G76" s="566"/>
      <c r="H76" s="35"/>
      <c r="I76" s="35"/>
      <c r="J76" s="13"/>
      <c r="K76" s="13"/>
      <c r="L76" s="28"/>
      <c r="M76" s="28"/>
    </row>
    <row r="77" spans="1:13" ht="15.75">
      <c r="A77" s="28"/>
      <c r="B77" s="13"/>
      <c r="C77" s="13"/>
      <c r="D77" s="35"/>
      <c r="E77" s="35"/>
      <c r="F77" s="35"/>
      <c r="G77" s="35"/>
      <c r="H77" s="35"/>
      <c r="I77" s="35"/>
      <c r="J77" s="13"/>
      <c r="K77" s="13"/>
      <c r="L77" s="28"/>
      <c r="M77" s="28"/>
    </row>
    <row r="78" spans="1:13" ht="15.75">
      <c r="A78" s="28"/>
      <c r="B78" s="13"/>
      <c r="C78" s="13"/>
      <c r="D78" s="35"/>
      <c r="E78" s="35"/>
      <c r="F78" s="35"/>
      <c r="G78" s="35"/>
      <c r="H78" s="35"/>
      <c r="I78" s="35"/>
      <c r="J78" s="13"/>
      <c r="K78" s="13"/>
      <c r="L78" s="28"/>
      <c r="M78" s="28"/>
    </row>
    <row r="79" spans="1:13" ht="15.75">
      <c r="A79" s="28"/>
      <c r="B79" s="13"/>
      <c r="C79" s="13"/>
      <c r="D79" s="35"/>
      <c r="E79" s="35"/>
      <c r="F79" s="35"/>
      <c r="G79" s="35"/>
      <c r="H79" s="35"/>
      <c r="I79" s="35"/>
      <c r="J79" s="13"/>
      <c r="K79" s="13"/>
      <c r="L79" s="28"/>
      <c r="M79" s="28"/>
    </row>
    <row r="80" spans="1:13" ht="15.75">
      <c r="A80" s="28"/>
      <c r="B80" s="13"/>
      <c r="C80" s="13"/>
      <c r="D80" s="35"/>
      <c r="E80" s="35"/>
      <c r="F80" s="35"/>
      <c r="G80" s="35"/>
      <c r="H80" s="35"/>
      <c r="I80" s="35"/>
      <c r="J80" s="13"/>
      <c r="K80" s="13"/>
      <c r="L80" s="28"/>
      <c r="M80" s="28"/>
    </row>
    <row r="81" spans="1:13" ht="15.75">
      <c r="A81" s="28"/>
      <c r="B81" s="13"/>
      <c r="C81" s="13"/>
      <c r="D81" s="35"/>
      <c r="E81" s="35"/>
      <c r="F81" s="35"/>
      <c r="G81" s="35"/>
      <c r="H81" s="35"/>
      <c r="I81" s="35"/>
      <c r="J81" s="13"/>
      <c r="K81" s="13"/>
      <c r="L81" s="28"/>
      <c r="M81" s="28"/>
    </row>
    <row r="82" spans="1:13" ht="15.75">
      <c r="A82" s="28"/>
      <c r="B82" s="13"/>
      <c r="C82" s="13"/>
      <c r="D82" s="35"/>
      <c r="E82" s="35"/>
      <c r="F82" s="35"/>
      <c r="G82" s="35"/>
      <c r="H82" s="35"/>
      <c r="I82" s="35"/>
      <c r="J82" s="13"/>
      <c r="K82" s="13"/>
      <c r="L82" s="28"/>
      <c r="M82" s="28"/>
    </row>
    <row r="83" spans="1:13" ht="15.75">
      <c r="A83" s="28"/>
      <c r="B83" s="13"/>
      <c r="C83" s="13"/>
      <c r="D83" s="35"/>
      <c r="E83" s="35"/>
      <c r="F83" s="35"/>
      <c r="G83" s="35"/>
      <c r="H83" s="35"/>
      <c r="I83" s="35"/>
      <c r="J83" s="13"/>
      <c r="K83" s="13"/>
      <c r="L83" s="28"/>
      <c r="M83" s="28"/>
    </row>
    <row r="84" spans="1:13" ht="15.75">
      <c r="A84" s="28"/>
      <c r="B84" s="13"/>
      <c r="C84" s="13"/>
      <c r="D84" s="35"/>
      <c r="E84" s="35"/>
      <c r="F84" s="35"/>
      <c r="G84" s="35"/>
      <c r="H84" s="35"/>
      <c r="I84" s="35"/>
      <c r="J84" s="13"/>
      <c r="K84" s="13"/>
      <c r="L84" s="28"/>
      <c r="M84" s="28"/>
    </row>
    <row r="85" spans="1:13" ht="15.75">
      <c r="A85" s="28"/>
      <c r="B85" s="13"/>
      <c r="C85" s="13"/>
      <c r="D85" s="35"/>
      <c r="E85" s="35"/>
      <c r="F85" s="35"/>
      <c r="G85" s="35"/>
      <c r="H85" s="35"/>
      <c r="I85" s="35"/>
      <c r="J85" s="13"/>
      <c r="K85" s="13"/>
      <c r="L85" s="28"/>
      <c r="M85" s="28"/>
    </row>
    <row r="86" ht="15.75">
      <c r="A86" s="14"/>
    </row>
    <row r="87" ht="15.75">
      <c r="A87" s="21"/>
    </row>
    <row r="88" ht="15.75">
      <c r="A88" s="21"/>
    </row>
    <row r="89" ht="15.75">
      <c r="M89" s="25"/>
    </row>
    <row r="90" ht="15.75">
      <c r="M90" s="25"/>
    </row>
    <row r="91" ht="15.75">
      <c r="A91" s="21"/>
    </row>
    <row r="92" spans="1:8" ht="15.75" customHeight="1">
      <c r="A92" s="21"/>
      <c r="B92" s="901"/>
      <c r="C92" s="901"/>
      <c r="D92" s="901"/>
      <c r="E92" s="901"/>
      <c r="F92" s="901"/>
      <c r="G92" s="901"/>
      <c r="H92" s="901"/>
    </row>
    <row r="93" ht="15.75">
      <c r="A93" s="21"/>
    </row>
    <row r="94" ht="15.75">
      <c r="A94" s="21"/>
    </row>
    <row r="95" spans="4:13" ht="33.75" customHeight="1">
      <c r="D95" s="1"/>
      <c r="E95" s="1"/>
      <c r="F95" s="1"/>
      <c r="G95" s="1"/>
      <c r="H95" s="1"/>
      <c r="M95" s="25"/>
    </row>
    <row r="96" spans="1:13" ht="15.75">
      <c r="A96" s="18"/>
      <c r="M96" s="16"/>
    </row>
  </sheetData>
  <sheetProtection/>
  <protectedRanges>
    <protectedRange sqref="B33:B35" name="Диапазон1_91_2_2_2_3_1"/>
  </protectedRanges>
  <mergeCells count="24">
    <mergeCell ref="B10:C10"/>
    <mergeCell ref="B76:C76"/>
    <mergeCell ref="D76:E76"/>
    <mergeCell ref="B70:C70"/>
    <mergeCell ref="D70:E70"/>
    <mergeCell ref="A6:M6"/>
    <mergeCell ref="A7:M7"/>
    <mergeCell ref="L17:P17"/>
    <mergeCell ref="J17:K17"/>
    <mergeCell ref="B65:H65"/>
    <mergeCell ref="B92:H92"/>
    <mergeCell ref="A17:A19"/>
    <mergeCell ref="B17:B19"/>
    <mergeCell ref="D17:D18"/>
    <mergeCell ref="H17:H18"/>
    <mergeCell ref="B67:H67"/>
    <mergeCell ref="B74:C74"/>
    <mergeCell ref="D74:E74"/>
    <mergeCell ref="I17:I18"/>
    <mergeCell ref="F70:G70"/>
    <mergeCell ref="E17:E19"/>
    <mergeCell ref="F17:F19"/>
    <mergeCell ref="G17:G18"/>
    <mergeCell ref="C17:C18"/>
  </mergeCells>
  <printOptions/>
  <pageMargins left="0.7086614173228347" right="0" top="0.35433070866141736" bottom="0.35433070866141736" header="0.31496062992125984" footer="0.31496062992125984"/>
  <pageSetup fitToHeight="4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Y65"/>
  <sheetViews>
    <sheetView zoomScale="70" zoomScaleNormal="70" zoomScalePageLayoutView="0" workbookViewId="0" topLeftCell="A7">
      <selection activeCell="C44" sqref="C44:K44"/>
    </sheetView>
  </sheetViews>
  <sheetFormatPr defaultColWidth="9.00390625" defaultRowHeight="15.75"/>
  <cols>
    <col min="1" max="1" width="9.125" style="1" bestFit="1" customWidth="1"/>
    <col min="2" max="2" width="36.875" style="1" bestFit="1" customWidth="1"/>
    <col min="3" max="3" width="8.625" style="1" customWidth="1"/>
    <col min="4" max="4" width="9.625" style="1" customWidth="1"/>
    <col min="5" max="5" width="15.625" style="1" customWidth="1"/>
    <col min="6" max="6" width="10.00390625" style="1" customWidth="1"/>
    <col min="7" max="7" width="8.75390625" style="1" customWidth="1"/>
    <col min="8" max="8" width="9.125" style="1" customWidth="1"/>
    <col min="9" max="9" width="6.125" style="1" customWidth="1"/>
    <col min="10" max="10" width="10.00390625" style="1" customWidth="1"/>
    <col min="11" max="11" width="7.625" style="1" customWidth="1"/>
    <col min="12" max="12" width="12.125" style="1" bestFit="1" customWidth="1"/>
    <col min="13" max="13" width="9.25390625" style="1" customWidth="1"/>
    <col min="14" max="14" width="10.00390625" style="18" customWidth="1"/>
    <col min="15" max="15" width="11.50390625" style="18" customWidth="1"/>
    <col min="16" max="16" width="9.625" style="18" customWidth="1"/>
    <col min="17" max="17" width="8.375" style="1" customWidth="1"/>
    <col min="18" max="18" width="7.75390625" style="1" customWidth="1"/>
    <col min="19" max="19" width="12.625" style="1" customWidth="1"/>
    <col min="20" max="20" width="5.625" style="1" customWidth="1"/>
    <col min="21" max="21" width="7.25390625" style="1" customWidth="1"/>
    <col min="22" max="22" width="8.25390625" style="1" customWidth="1"/>
    <col min="23" max="23" width="6.25390625" style="1" customWidth="1"/>
    <col min="24" max="24" width="7.125" style="1" customWidth="1"/>
    <col min="25" max="25" width="9.125" style="1" customWidth="1"/>
    <col min="26" max="16384" width="9.00390625" style="1" customWidth="1"/>
  </cols>
  <sheetData>
    <row r="2" ht="15.75">
      <c r="Y2" s="4" t="s">
        <v>494</v>
      </c>
    </row>
    <row r="3" ht="15.75">
      <c r="Y3" s="4" t="s">
        <v>292</v>
      </c>
    </row>
    <row r="4" ht="15.75">
      <c r="Y4" s="4" t="s">
        <v>70</v>
      </c>
    </row>
    <row r="5" ht="15.75">
      <c r="X5" s="4"/>
    </row>
    <row r="6" spans="1:25" ht="18.75">
      <c r="A6" s="903" t="s">
        <v>425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</row>
    <row r="8" spans="2:25" ht="16.5">
      <c r="B8" s="450" t="s">
        <v>154</v>
      </c>
      <c r="C8" s="451"/>
      <c r="V8" s="450" t="s">
        <v>154</v>
      </c>
      <c r="Y8" s="4"/>
    </row>
    <row r="9" spans="2:25" ht="16.5">
      <c r="B9" s="450" t="s">
        <v>155</v>
      </c>
      <c r="C9" s="450"/>
      <c r="V9" s="450" t="s">
        <v>568</v>
      </c>
      <c r="W9" s="4"/>
      <c r="Y9" s="4"/>
    </row>
    <row r="10" spans="2:25" ht="16.5">
      <c r="B10" s="450" t="s">
        <v>156</v>
      </c>
      <c r="C10" s="451"/>
      <c r="V10" s="450" t="s">
        <v>569</v>
      </c>
      <c r="W10" s="4"/>
      <c r="Y10" s="4"/>
    </row>
    <row r="11" spans="2:25" ht="16.5">
      <c r="B11" s="450" t="s">
        <v>44</v>
      </c>
      <c r="C11" s="451"/>
      <c r="V11" s="450"/>
      <c r="W11" s="531"/>
      <c r="X11" s="233"/>
      <c r="Y11" s="136"/>
    </row>
    <row r="12" spans="2:25" ht="24" customHeight="1">
      <c r="B12" s="450" t="s">
        <v>45</v>
      </c>
      <c r="C12" s="451"/>
      <c r="V12" s="450" t="s">
        <v>159</v>
      </c>
      <c r="Y12" s="4"/>
    </row>
    <row r="13" spans="2:25" ht="16.5">
      <c r="B13" s="450"/>
      <c r="C13" s="451"/>
      <c r="V13" s="450"/>
      <c r="W13" s="4"/>
      <c r="Y13" s="4"/>
    </row>
    <row r="14" spans="2:25" ht="21.75" customHeight="1">
      <c r="B14" s="450" t="s">
        <v>46</v>
      </c>
      <c r="C14" s="451"/>
      <c r="V14" s="450" t="s">
        <v>58</v>
      </c>
      <c r="W14" s="13"/>
      <c r="X14" s="13"/>
      <c r="Y14" s="562"/>
    </row>
    <row r="15" spans="2:25" ht="17.25" thickBot="1">
      <c r="B15" s="450"/>
      <c r="C15" s="451"/>
      <c r="V15" s="450"/>
      <c r="Y15" s="4"/>
    </row>
    <row r="16" spans="1:25" ht="27.75" customHeight="1">
      <c r="A16" s="906" t="s">
        <v>624</v>
      </c>
      <c r="B16" s="906" t="s">
        <v>473</v>
      </c>
      <c r="C16" s="909" t="s">
        <v>474</v>
      </c>
      <c r="D16" s="909"/>
      <c r="E16" s="909"/>
      <c r="F16" s="909"/>
      <c r="G16" s="909"/>
      <c r="H16" s="909"/>
      <c r="I16" s="909"/>
      <c r="J16" s="909"/>
      <c r="K16" s="909"/>
      <c r="L16" s="910" t="s">
        <v>676</v>
      </c>
      <c r="M16" s="911"/>
      <c r="N16" s="911"/>
      <c r="O16" s="911"/>
      <c r="P16" s="912"/>
      <c r="Q16" s="909" t="s">
        <v>475</v>
      </c>
      <c r="R16" s="909"/>
      <c r="S16" s="909"/>
      <c r="T16" s="909"/>
      <c r="U16" s="909"/>
      <c r="V16" s="909"/>
      <c r="W16" s="909"/>
      <c r="X16" s="909"/>
      <c r="Y16" s="916"/>
    </row>
    <row r="17" spans="1:25" ht="21" customHeight="1">
      <c r="A17" s="907"/>
      <c r="B17" s="907"/>
      <c r="C17" s="917" t="s">
        <v>476</v>
      </c>
      <c r="D17" s="917"/>
      <c r="E17" s="917"/>
      <c r="F17" s="917"/>
      <c r="G17" s="917" t="s">
        <v>477</v>
      </c>
      <c r="H17" s="917"/>
      <c r="I17" s="917"/>
      <c r="J17" s="917"/>
      <c r="K17" s="917"/>
      <c r="L17" s="913"/>
      <c r="M17" s="914"/>
      <c r="N17" s="914"/>
      <c r="O17" s="914"/>
      <c r="P17" s="915"/>
      <c r="Q17" s="917" t="s">
        <v>476</v>
      </c>
      <c r="R17" s="917"/>
      <c r="S17" s="917"/>
      <c r="T17" s="917"/>
      <c r="U17" s="917" t="s">
        <v>477</v>
      </c>
      <c r="V17" s="917"/>
      <c r="W17" s="917"/>
      <c r="X17" s="917"/>
      <c r="Y17" s="918"/>
    </row>
    <row r="18" spans="1:25" ht="72.75" customHeight="1">
      <c r="A18" s="908"/>
      <c r="B18" s="908"/>
      <c r="C18" s="234" t="s">
        <v>478</v>
      </c>
      <c r="D18" s="235" t="s">
        <v>479</v>
      </c>
      <c r="E18" s="235" t="s">
        <v>480</v>
      </c>
      <c r="F18" s="235" t="s">
        <v>481</v>
      </c>
      <c r="G18" s="234" t="s">
        <v>482</v>
      </c>
      <c r="H18" s="235" t="s">
        <v>479</v>
      </c>
      <c r="I18" s="236" t="s">
        <v>483</v>
      </c>
      <c r="J18" s="236" t="s">
        <v>484</v>
      </c>
      <c r="K18" s="235" t="s">
        <v>485</v>
      </c>
      <c r="L18" s="237" t="s">
        <v>486</v>
      </c>
      <c r="M18" s="237" t="s">
        <v>487</v>
      </c>
      <c r="N18" s="237" t="s">
        <v>488</v>
      </c>
      <c r="O18" s="237" t="s">
        <v>489</v>
      </c>
      <c r="P18" s="237" t="s">
        <v>490</v>
      </c>
      <c r="Q18" s="234" t="s">
        <v>478</v>
      </c>
      <c r="R18" s="235" t="s">
        <v>479</v>
      </c>
      <c r="S18" s="235" t="s">
        <v>480</v>
      </c>
      <c r="T18" s="235" t="s">
        <v>481</v>
      </c>
      <c r="U18" s="234" t="s">
        <v>482</v>
      </c>
      <c r="V18" s="235" t="s">
        <v>479</v>
      </c>
      <c r="W18" s="236" t="s">
        <v>483</v>
      </c>
      <c r="X18" s="236" t="s">
        <v>484</v>
      </c>
      <c r="Y18" s="322" t="s">
        <v>485</v>
      </c>
    </row>
    <row r="19" spans="1:25" s="16" customFormat="1" ht="72.75" customHeight="1">
      <c r="A19" s="214"/>
      <c r="B19" s="214" t="s">
        <v>571</v>
      </c>
      <c r="C19" s="244"/>
      <c r="D19" s="245"/>
      <c r="E19" s="245"/>
      <c r="F19" s="245"/>
      <c r="G19" s="244"/>
      <c r="H19" s="245"/>
      <c r="I19" s="246"/>
      <c r="J19" s="246"/>
      <c r="K19" s="245"/>
      <c r="L19" s="247">
        <f>L20+L35+L47+L48+L49</f>
        <v>108.0717396</v>
      </c>
      <c r="M19" s="247">
        <f>M20+M35+M47+M48+M49</f>
        <v>17.7399548</v>
      </c>
      <c r="N19" s="247">
        <f>N20+N35+N47+N48+N49</f>
        <v>21.8667747</v>
      </c>
      <c r="O19" s="247">
        <f>O20+O35+O47+O48+O49</f>
        <v>64.09165516</v>
      </c>
      <c r="P19" s="247">
        <f>P20+P35+P47+P48+P49</f>
        <v>4.3733549400000005</v>
      </c>
      <c r="Q19" s="244"/>
      <c r="R19" s="245"/>
      <c r="S19" s="245"/>
      <c r="T19" s="245"/>
      <c r="U19" s="244"/>
      <c r="V19" s="245"/>
      <c r="W19" s="246"/>
      <c r="X19" s="246"/>
      <c r="Y19" s="323"/>
    </row>
    <row r="20" spans="1:25" s="16" customFormat="1" ht="31.5">
      <c r="A20" s="216">
        <v>1</v>
      </c>
      <c r="B20" s="272" t="s">
        <v>181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40">
        <f>L21+L24+L26</f>
        <v>35.713384399999995</v>
      </c>
      <c r="M20" s="240">
        <f>M21+M24+M26</f>
        <v>0</v>
      </c>
      <c r="N20" s="240">
        <f>N21+N24+N26</f>
        <v>8.928346099999999</v>
      </c>
      <c r="O20" s="240">
        <f>O21+O24+O26</f>
        <v>24.999369079999997</v>
      </c>
      <c r="P20" s="240">
        <f>P21+P24+P26</f>
        <v>1.78566922</v>
      </c>
      <c r="Q20" s="238"/>
      <c r="R20" s="238"/>
      <c r="S20" s="238"/>
      <c r="T20" s="238"/>
      <c r="U20" s="238"/>
      <c r="V20" s="238"/>
      <c r="W20" s="238"/>
      <c r="X20" s="238"/>
      <c r="Y20" s="324"/>
    </row>
    <row r="21" spans="1:25" s="16" customFormat="1" ht="15.75">
      <c r="A21" s="222" t="s">
        <v>637</v>
      </c>
      <c r="B21" s="205" t="s">
        <v>550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41">
        <f>SUM(M21:P21)</f>
        <v>15.190871599999998</v>
      </c>
      <c r="M21" s="241">
        <f>SUM(M22:M23)</f>
        <v>0</v>
      </c>
      <c r="N21" s="241">
        <f>SUM(N22:N23)</f>
        <v>3.7977178999999994</v>
      </c>
      <c r="O21" s="241">
        <f>SUM(O22:O23)</f>
        <v>10.633610119999998</v>
      </c>
      <c r="P21" s="241">
        <f>SUM(P22:P23)</f>
        <v>0.7595435799999999</v>
      </c>
      <c r="Q21" s="318" t="s">
        <v>598</v>
      </c>
      <c r="R21" s="318" t="s">
        <v>598</v>
      </c>
      <c r="S21" s="318" t="s">
        <v>598</v>
      </c>
      <c r="T21" s="318" t="s">
        <v>598</v>
      </c>
      <c r="U21" s="318" t="s">
        <v>598</v>
      </c>
      <c r="V21" s="318" t="s">
        <v>598</v>
      </c>
      <c r="W21" s="318" t="s">
        <v>598</v>
      </c>
      <c r="X21" s="318" t="s">
        <v>598</v>
      </c>
      <c r="Y21" s="325" t="s">
        <v>598</v>
      </c>
    </row>
    <row r="22" spans="1:25" s="16" customFormat="1" ht="15.75">
      <c r="A22" s="76"/>
      <c r="B22" s="206" t="s">
        <v>553</v>
      </c>
      <c r="C22" s="156"/>
      <c r="D22" s="156"/>
      <c r="E22" s="156"/>
      <c r="F22" s="156"/>
      <c r="G22" s="6">
        <v>1973</v>
      </c>
      <c r="H22" s="6">
        <v>20</v>
      </c>
      <c r="I22" s="6" t="s">
        <v>598</v>
      </c>
      <c r="J22" s="6" t="s">
        <v>419</v>
      </c>
      <c r="K22" s="76">
        <v>2.072</v>
      </c>
      <c r="L22" s="242">
        <f>'приложение 1.1'!L23</f>
        <v>2.9366659999999998</v>
      </c>
      <c r="M22" s="242">
        <f>SUM(M23:M27)</f>
        <v>0</v>
      </c>
      <c r="N22" s="242">
        <f>L22*0.25</f>
        <v>0.7341664999999999</v>
      </c>
      <c r="O22" s="242">
        <f>L22*0.7</f>
        <v>2.0556661999999997</v>
      </c>
      <c r="P22" s="242">
        <f>L22*0.05</f>
        <v>0.1468333</v>
      </c>
      <c r="Q22" s="458" t="s">
        <v>598</v>
      </c>
      <c r="R22" s="458" t="s">
        <v>598</v>
      </c>
      <c r="S22" s="458" t="s">
        <v>598</v>
      </c>
      <c r="T22" s="458" t="s">
        <v>598</v>
      </c>
      <c r="U22" s="458" t="s">
        <v>598</v>
      </c>
      <c r="V22" s="458" t="s">
        <v>598</v>
      </c>
      <c r="W22" s="458" t="s">
        <v>598</v>
      </c>
      <c r="X22" s="458" t="s">
        <v>598</v>
      </c>
      <c r="Y22" s="459" t="s">
        <v>598</v>
      </c>
    </row>
    <row r="23" spans="1:25" ht="31.5">
      <c r="A23" s="76"/>
      <c r="B23" s="207" t="s">
        <v>422</v>
      </c>
      <c r="C23" s="6" t="s">
        <v>598</v>
      </c>
      <c r="D23" s="6" t="s">
        <v>598</v>
      </c>
      <c r="E23" s="6" t="s">
        <v>598</v>
      </c>
      <c r="F23" s="6" t="s">
        <v>598</v>
      </c>
      <c r="G23" s="6">
        <v>1965</v>
      </c>
      <c r="H23" s="6">
        <v>20</v>
      </c>
      <c r="I23" s="6" t="s">
        <v>598</v>
      </c>
      <c r="J23" s="6" t="s">
        <v>420</v>
      </c>
      <c r="K23" s="76">
        <v>5.57</v>
      </c>
      <c r="L23" s="242">
        <f>'приложение 1.1'!L24</f>
        <v>12.254205599999999</v>
      </c>
      <c r="M23" s="242"/>
      <c r="N23" s="242">
        <f>L23*0.25</f>
        <v>3.0635513999999997</v>
      </c>
      <c r="O23" s="242">
        <f>L23*0.7</f>
        <v>8.57794392</v>
      </c>
      <c r="P23" s="242">
        <f>L23*0.05</f>
        <v>0.6127102799999999</v>
      </c>
      <c r="Q23" s="269" t="s">
        <v>598</v>
      </c>
      <c r="R23" s="269" t="s">
        <v>598</v>
      </c>
      <c r="S23" s="269" t="s">
        <v>598</v>
      </c>
      <c r="T23" s="269" t="s">
        <v>598</v>
      </c>
      <c r="U23" s="269" t="s">
        <v>598</v>
      </c>
      <c r="V23" s="269" t="s">
        <v>598</v>
      </c>
      <c r="W23" s="269" t="s">
        <v>598</v>
      </c>
      <c r="X23" s="269" t="s">
        <v>598</v>
      </c>
      <c r="Y23" s="425" t="s">
        <v>598</v>
      </c>
    </row>
    <row r="24" spans="1:25" ht="15.75">
      <c r="A24" s="224" t="s">
        <v>650</v>
      </c>
      <c r="B24" s="210" t="s">
        <v>559</v>
      </c>
      <c r="C24" s="302" t="s">
        <v>598</v>
      </c>
      <c r="D24" s="302" t="s">
        <v>598</v>
      </c>
      <c r="E24" s="302" t="s">
        <v>598</v>
      </c>
      <c r="F24" s="302" t="s">
        <v>598</v>
      </c>
      <c r="G24" s="302"/>
      <c r="H24" s="302"/>
      <c r="I24" s="302"/>
      <c r="J24" s="302"/>
      <c r="K24" s="453"/>
      <c r="L24" s="241">
        <f>SUM(M24:P24)</f>
        <v>3.9715142</v>
      </c>
      <c r="M24" s="241">
        <f>M25</f>
        <v>0</v>
      </c>
      <c r="N24" s="241">
        <f>N25</f>
        <v>0.99287855</v>
      </c>
      <c r="O24" s="241">
        <f>O25</f>
        <v>2.78005994</v>
      </c>
      <c r="P24" s="241">
        <f>P25</f>
        <v>0.19857571000000002</v>
      </c>
      <c r="Q24" s="461" t="s">
        <v>598</v>
      </c>
      <c r="R24" s="461" t="s">
        <v>598</v>
      </c>
      <c r="S24" s="461" t="s">
        <v>598</v>
      </c>
      <c r="T24" s="461" t="s">
        <v>598</v>
      </c>
      <c r="U24" s="461" t="s">
        <v>598</v>
      </c>
      <c r="V24" s="461" t="s">
        <v>598</v>
      </c>
      <c r="W24" s="461" t="s">
        <v>598</v>
      </c>
      <c r="X24" s="461" t="s">
        <v>598</v>
      </c>
      <c r="Y24" s="462" t="s">
        <v>598</v>
      </c>
    </row>
    <row r="25" spans="1:25" ht="31.5">
      <c r="A25" s="76"/>
      <c r="B25" s="446" t="s">
        <v>59</v>
      </c>
      <c r="C25" s="6">
        <v>2011</v>
      </c>
      <c r="D25" s="6">
        <v>25</v>
      </c>
      <c r="E25" s="6" t="s">
        <v>529</v>
      </c>
      <c r="F25" s="6">
        <v>0.4</v>
      </c>
      <c r="G25" s="6">
        <v>1964</v>
      </c>
      <c r="H25" s="6">
        <v>15</v>
      </c>
      <c r="I25" s="6" t="s">
        <v>62</v>
      </c>
      <c r="J25" s="6" t="s">
        <v>174</v>
      </c>
      <c r="K25" s="76">
        <v>2.283</v>
      </c>
      <c r="L25" s="242">
        <f>'приложение 1.1'!L26</f>
        <v>3.9715142</v>
      </c>
      <c r="M25" s="242"/>
      <c r="N25" s="242">
        <f>L25*0.25</f>
        <v>0.99287855</v>
      </c>
      <c r="O25" s="242">
        <f>L25*0.7</f>
        <v>2.78005994</v>
      </c>
      <c r="P25" s="242">
        <f>L25*0.05</f>
        <v>0.19857571000000002</v>
      </c>
      <c r="Q25" s="269" t="s">
        <v>598</v>
      </c>
      <c r="R25" s="269" t="s">
        <v>598</v>
      </c>
      <c r="S25" s="269" t="s">
        <v>598</v>
      </c>
      <c r="T25" s="269" t="s">
        <v>598</v>
      </c>
      <c r="U25" s="269" t="s">
        <v>598</v>
      </c>
      <c r="V25" s="269" t="s">
        <v>598</v>
      </c>
      <c r="W25" s="269" t="s">
        <v>598</v>
      </c>
      <c r="X25" s="269" t="s">
        <v>598</v>
      </c>
      <c r="Y25" s="425" t="s">
        <v>598</v>
      </c>
    </row>
    <row r="26" spans="1:25" ht="15.75">
      <c r="A26" s="224" t="s">
        <v>654</v>
      </c>
      <c r="B26" s="205" t="s">
        <v>554</v>
      </c>
      <c r="C26" s="302" t="s">
        <v>598</v>
      </c>
      <c r="D26" s="302" t="s">
        <v>598</v>
      </c>
      <c r="E26" s="302" t="s">
        <v>598</v>
      </c>
      <c r="F26" s="302" t="s">
        <v>598</v>
      </c>
      <c r="G26" s="302"/>
      <c r="H26" s="302"/>
      <c r="I26" s="302"/>
      <c r="J26" s="302"/>
      <c r="K26" s="453"/>
      <c r="L26" s="241">
        <f>SUM(M26:P26)</f>
        <v>16.5509986</v>
      </c>
      <c r="M26" s="241"/>
      <c r="N26" s="241">
        <f>SUM(N27:N34)</f>
        <v>4.13774965</v>
      </c>
      <c r="O26" s="241">
        <f>SUM(O27:O34)</f>
        <v>11.58569902</v>
      </c>
      <c r="P26" s="241">
        <f>SUM(P27:P34)</f>
        <v>0.82754993</v>
      </c>
      <c r="Q26" s="461" t="s">
        <v>598</v>
      </c>
      <c r="R26" s="461" t="s">
        <v>598</v>
      </c>
      <c r="S26" s="461" t="s">
        <v>598</v>
      </c>
      <c r="T26" s="461" t="s">
        <v>598</v>
      </c>
      <c r="U26" s="461" t="s">
        <v>598</v>
      </c>
      <c r="V26" s="461" t="s">
        <v>598</v>
      </c>
      <c r="W26" s="461" t="s">
        <v>598</v>
      </c>
      <c r="X26" s="461" t="s">
        <v>598</v>
      </c>
      <c r="Y26" s="462" t="s">
        <v>598</v>
      </c>
    </row>
    <row r="27" spans="1:25" ht="31.5">
      <c r="A27" s="76"/>
      <c r="B27" s="447" t="s">
        <v>555</v>
      </c>
      <c r="C27" s="6">
        <v>1967</v>
      </c>
      <c r="D27" s="6">
        <v>25</v>
      </c>
      <c r="E27" s="6" t="s">
        <v>523</v>
      </c>
      <c r="F27" s="76">
        <v>3.9</v>
      </c>
      <c r="G27" s="6"/>
      <c r="H27" s="6"/>
      <c r="I27" s="6"/>
      <c r="J27" s="6"/>
      <c r="K27" s="76"/>
      <c r="L27" s="242">
        <f>'приложение 1.1'!L28</f>
        <v>12.41714</v>
      </c>
      <c r="M27" s="242"/>
      <c r="N27" s="242">
        <f>L27*0.25</f>
        <v>3.104285</v>
      </c>
      <c r="O27" s="242">
        <f>L27*0.7</f>
        <v>8.691998</v>
      </c>
      <c r="P27" s="242">
        <f>L27*0.05</f>
        <v>0.620857</v>
      </c>
      <c r="Q27" s="269" t="s">
        <v>598</v>
      </c>
      <c r="R27" s="269" t="s">
        <v>598</v>
      </c>
      <c r="S27" s="269" t="s">
        <v>598</v>
      </c>
      <c r="T27" s="269" t="s">
        <v>598</v>
      </c>
      <c r="U27" s="269" t="s">
        <v>598</v>
      </c>
      <c r="V27" s="269" t="s">
        <v>598</v>
      </c>
      <c r="W27" s="269" t="s">
        <v>598</v>
      </c>
      <c r="X27" s="269" t="s">
        <v>598</v>
      </c>
      <c r="Y27" s="425" t="s">
        <v>598</v>
      </c>
    </row>
    <row r="28" spans="1:25" s="16" customFormat="1" ht="31.5">
      <c r="A28" s="76"/>
      <c r="B28" s="447" t="s">
        <v>556</v>
      </c>
      <c r="C28" s="6">
        <v>1974</v>
      </c>
      <c r="D28" s="6">
        <v>25</v>
      </c>
      <c r="E28" s="6" t="s">
        <v>524</v>
      </c>
      <c r="F28" s="76">
        <v>0.4</v>
      </c>
      <c r="G28" s="27"/>
      <c r="H28" s="27"/>
      <c r="I28" s="27"/>
      <c r="J28" s="27"/>
      <c r="K28" s="78"/>
      <c r="L28" s="242">
        <f>'приложение 1.1'!L29</f>
        <v>0.3429552</v>
      </c>
      <c r="M28" s="242"/>
      <c r="N28" s="242">
        <f aca="true" t="shared" si="0" ref="N28:N34">L28*0.25</f>
        <v>0.0857388</v>
      </c>
      <c r="O28" s="242">
        <f aca="true" t="shared" si="1" ref="O28:O34">L28*0.7</f>
        <v>0.24006864</v>
      </c>
      <c r="P28" s="242">
        <f aca="true" t="shared" si="2" ref="P28:P34">L28*0.05</f>
        <v>0.01714776</v>
      </c>
      <c r="Q28" s="458" t="s">
        <v>598</v>
      </c>
      <c r="R28" s="458" t="s">
        <v>598</v>
      </c>
      <c r="S28" s="458" t="s">
        <v>598</v>
      </c>
      <c r="T28" s="458" t="s">
        <v>598</v>
      </c>
      <c r="U28" s="458" t="s">
        <v>598</v>
      </c>
      <c r="V28" s="458" t="s">
        <v>598</v>
      </c>
      <c r="W28" s="458" t="s">
        <v>598</v>
      </c>
      <c r="X28" s="458" t="s">
        <v>598</v>
      </c>
      <c r="Y28" s="459" t="s">
        <v>598</v>
      </c>
    </row>
    <row r="29" spans="1:25" ht="31.5">
      <c r="A29" s="76"/>
      <c r="B29" s="447" t="s">
        <v>552</v>
      </c>
      <c r="C29" s="6">
        <v>1973</v>
      </c>
      <c r="D29" s="6">
        <v>25</v>
      </c>
      <c r="E29" s="6" t="s">
        <v>525</v>
      </c>
      <c r="F29" s="76">
        <v>1.26</v>
      </c>
      <c r="G29" s="6"/>
      <c r="H29" s="6"/>
      <c r="I29" s="5"/>
      <c r="J29" s="6"/>
      <c r="K29" s="76"/>
      <c r="L29" s="242">
        <f>'приложение 1.1'!L30</f>
        <v>0.4115368</v>
      </c>
      <c r="M29" s="242"/>
      <c r="N29" s="242">
        <f t="shared" si="0"/>
        <v>0.1028842</v>
      </c>
      <c r="O29" s="242">
        <f t="shared" si="1"/>
        <v>0.28807575999999996</v>
      </c>
      <c r="P29" s="242">
        <f t="shared" si="2"/>
        <v>0.02057684</v>
      </c>
      <c r="Q29" s="269" t="s">
        <v>598</v>
      </c>
      <c r="R29" s="269" t="s">
        <v>598</v>
      </c>
      <c r="S29" s="269" t="s">
        <v>598</v>
      </c>
      <c r="T29" s="269" t="s">
        <v>598</v>
      </c>
      <c r="U29" s="269" t="s">
        <v>598</v>
      </c>
      <c r="V29" s="269" t="s">
        <v>598</v>
      </c>
      <c r="W29" s="269" t="s">
        <v>598</v>
      </c>
      <c r="X29" s="269" t="s">
        <v>598</v>
      </c>
      <c r="Y29" s="425" t="s">
        <v>598</v>
      </c>
    </row>
    <row r="30" spans="1:25" s="16" customFormat="1" ht="31.5">
      <c r="A30" s="76"/>
      <c r="B30" s="447" t="s">
        <v>557</v>
      </c>
      <c r="C30" s="6">
        <v>1971</v>
      </c>
      <c r="D30" s="6">
        <v>25</v>
      </c>
      <c r="E30" s="6" t="s">
        <v>526</v>
      </c>
      <c r="F30" s="76">
        <v>1.26</v>
      </c>
      <c r="G30" s="156"/>
      <c r="H30" s="156"/>
      <c r="I30" s="156"/>
      <c r="J30" s="156"/>
      <c r="K30" s="78"/>
      <c r="L30" s="242">
        <f>'приложение 1.1'!L31</f>
        <v>0.4115368</v>
      </c>
      <c r="M30" s="242"/>
      <c r="N30" s="242">
        <f t="shared" si="0"/>
        <v>0.1028842</v>
      </c>
      <c r="O30" s="242">
        <f t="shared" si="1"/>
        <v>0.28807575999999996</v>
      </c>
      <c r="P30" s="242">
        <f t="shared" si="2"/>
        <v>0.02057684</v>
      </c>
      <c r="Q30" s="458" t="s">
        <v>598</v>
      </c>
      <c r="R30" s="458" t="s">
        <v>598</v>
      </c>
      <c r="S30" s="458" t="s">
        <v>598</v>
      </c>
      <c r="T30" s="458" t="s">
        <v>598</v>
      </c>
      <c r="U30" s="458" t="s">
        <v>598</v>
      </c>
      <c r="V30" s="458" t="s">
        <v>598</v>
      </c>
      <c r="W30" s="458" t="s">
        <v>598</v>
      </c>
      <c r="X30" s="458" t="s">
        <v>598</v>
      </c>
      <c r="Y30" s="459" t="s">
        <v>598</v>
      </c>
    </row>
    <row r="31" spans="1:25" ht="31.5">
      <c r="A31" s="76"/>
      <c r="B31" s="447" t="s">
        <v>558</v>
      </c>
      <c r="C31" s="6">
        <v>1972</v>
      </c>
      <c r="D31" s="6">
        <v>25</v>
      </c>
      <c r="E31" s="6" t="s">
        <v>527</v>
      </c>
      <c r="F31" s="76">
        <v>0.8</v>
      </c>
      <c r="G31" s="6"/>
      <c r="H31" s="6"/>
      <c r="I31" s="6"/>
      <c r="J31" s="6"/>
      <c r="K31" s="6"/>
      <c r="L31" s="242">
        <f>'приложение 1.1'!L32</f>
        <v>1.1947618</v>
      </c>
      <c r="M31" s="242"/>
      <c r="N31" s="242">
        <f t="shared" si="0"/>
        <v>0.29869045</v>
      </c>
      <c r="O31" s="242">
        <f t="shared" si="1"/>
        <v>0.83633326</v>
      </c>
      <c r="P31" s="242">
        <f t="shared" si="2"/>
        <v>0.05973809</v>
      </c>
      <c r="Q31" s="269" t="s">
        <v>598</v>
      </c>
      <c r="R31" s="269" t="s">
        <v>598</v>
      </c>
      <c r="S31" s="269" t="s">
        <v>598</v>
      </c>
      <c r="T31" s="269" t="s">
        <v>598</v>
      </c>
      <c r="U31" s="269" t="s">
        <v>598</v>
      </c>
      <c r="V31" s="269" t="s">
        <v>598</v>
      </c>
      <c r="W31" s="269" t="s">
        <v>598</v>
      </c>
      <c r="X31" s="269" t="s">
        <v>598</v>
      </c>
      <c r="Y31" s="425" t="s">
        <v>598</v>
      </c>
    </row>
    <row r="32" spans="1:25" ht="31.5">
      <c r="A32" s="76"/>
      <c r="B32" s="209" t="s">
        <v>150</v>
      </c>
      <c r="C32" s="6"/>
      <c r="D32" s="6"/>
      <c r="E32" s="6"/>
      <c r="F32" s="76"/>
      <c r="G32" s="6"/>
      <c r="H32" s="6"/>
      <c r="I32" s="6"/>
      <c r="J32" s="6"/>
      <c r="K32" s="6"/>
      <c r="L32" s="242">
        <f>'приложение 1.1'!L33</f>
        <v>0.59</v>
      </c>
      <c r="M32" s="242"/>
      <c r="N32" s="242">
        <f t="shared" si="0"/>
        <v>0.1475</v>
      </c>
      <c r="O32" s="242">
        <f t="shared" si="1"/>
        <v>0.413</v>
      </c>
      <c r="P32" s="242">
        <f t="shared" si="2"/>
        <v>0.0295</v>
      </c>
      <c r="Q32" s="269" t="s">
        <v>598</v>
      </c>
      <c r="R32" s="269" t="s">
        <v>598</v>
      </c>
      <c r="S32" s="269" t="s">
        <v>598</v>
      </c>
      <c r="T32" s="269" t="s">
        <v>598</v>
      </c>
      <c r="U32" s="269" t="s">
        <v>598</v>
      </c>
      <c r="V32" s="269" t="s">
        <v>598</v>
      </c>
      <c r="W32" s="269" t="s">
        <v>598</v>
      </c>
      <c r="X32" s="269" t="s">
        <v>598</v>
      </c>
      <c r="Y32" s="425" t="s">
        <v>598</v>
      </c>
    </row>
    <row r="33" spans="1:25" ht="15.75">
      <c r="A33" s="76"/>
      <c r="B33" s="209" t="s">
        <v>151</v>
      </c>
      <c r="C33" s="532">
        <v>1988</v>
      </c>
      <c r="D33" s="532">
        <v>25</v>
      </c>
      <c r="E33" s="532" t="s">
        <v>175</v>
      </c>
      <c r="F33" s="76"/>
      <c r="G33" s="6"/>
      <c r="H33" s="6"/>
      <c r="I33" s="6"/>
      <c r="J33" s="6"/>
      <c r="K33" s="6"/>
      <c r="L33" s="242">
        <f>'приложение 1.1'!L34</f>
        <v>0.70505</v>
      </c>
      <c r="M33" s="242"/>
      <c r="N33" s="242">
        <f t="shared" si="0"/>
        <v>0.1762625</v>
      </c>
      <c r="O33" s="242">
        <f t="shared" si="1"/>
        <v>0.49353499999999995</v>
      </c>
      <c r="P33" s="242">
        <f t="shared" si="2"/>
        <v>0.0352525</v>
      </c>
      <c r="Q33" s="269" t="s">
        <v>598</v>
      </c>
      <c r="R33" s="269" t="s">
        <v>598</v>
      </c>
      <c r="S33" s="269" t="s">
        <v>598</v>
      </c>
      <c r="T33" s="269" t="s">
        <v>598</v>
      </c>
      <c r="U33" s="269" t="s">
        <v>598</v>
      </c>
      <c r="V33" s="269" t="s">
        <v>598</v>
      </c>
      <c r="W33" s="269" t="s">
        <v>598</v>
      </c>
      <c r="X33" s="269" t="s">
        <v>598</v>
      </c>
      <c r="Y33" s="425" t="s">
        <v>598</v>
      </c>
    </row>
    <row r="34" spans="1:25" ht="15.75">
      <c r="A34" s="76"/>
      <c r="B34" s="209" t="s">
        <v>147</v>
      </c>
      <c r="C34" s="532">
        <v>1989</v>
      </c>
      <c r="D34" s="532">
        <v>25</v>
      </c>
      <c r="E34" s="532" t="s">
        <v>175</v>
      </c>
      <c r="F34" s="76"/>
      <c r="G34" s="6"/>
      <c r="H34" s="6"/>
      <c r="I34" s="6"/>
      <c r="J34" s="6"/>
      <c r="K34" s="6"/>
      <c r="L34" s="242">
        <f>'приложение 1.1'!L35</f>
        <v>0.47801800000000005</v>
      </c>
      <c r="M34" s="242"/>
      <c r="N34" s="242">
        <f t="shared" si="0"/>
        <v>0.11950450000000001</v>
      </c>
      <c r="O34" s="242">
        <f t="shared" si="1"/>
        <v>0.33461260000000004</v>
      </c>
      <c r="P34" s="242">
        <f t="shared" si="2"/>
        <v>0.023900900000000003</v>
      </c>
      <c r="Q34" s="269" t="s">
        <v>598</v>
      </c>
      <c r="R34" s="269" t="s">
        <v>598</v>
      </c>
      <c r="S34" s="269" t="s">
        <v>598</v>
      </c>
      <c r="T34" s="269" t="s">
        <v>598</v>
      </c>
      <c r="U34" s="269" t="s">
        <v>598</v>
      </c>
      <c r="V34" s="269" t="s">
        <v>598</v>
      </c>
      <c r="W34" s="269" t="s">
        <v>598</v>
      </c>
      <c r="X34" s="269" t="s">
        <v>598</v>
      </c>
      <c r="Y34" s="425" t="s">
        <v>598</v>
      </c>
    </row>
    <row r="35" spans="1:25" ht="31.5">
      <c r="A35" s="581" t="s">
        <v>614</v>
      </c>
      <c r="B35" s="216" t="s">
        <v>179</v>
      </c>
      <c r="C35" s="454" t="s">
        <v>598</v>
      </c>
      <c r="D35" s="454" t="s">
        <v>598</v>
      </c>
      <c r="E35" s="454" t="s">
        <v>598</v>
      </c>
      <c r="F35" s="454" t="s">
        <v>598</v>
      </c>
      <c r="G35" s="454" t="s">
        <v>598</v>
      </c>
      <c r="H35" s="454" t="s">
        <v>598</v>
      </c>
      <c r="I35" s="454" t="s">
        <v>598</v>
      </c>
      <c r="J35" s="454" t="s">
        <v>598</v>
      </c>
      <c r="K35" s="454" t="s">
        <v>598</v>
      </c>
      <c r="L35" s="243">
        <f>L36+L39+L45+L43</f>
        <v>51.75371439999999</v>
      </c>
      <c r="M35" s="243">
        <f>M36+M39+M45</f>
        <v>0</v>
      </c>
      <c r="N35" s="243">
        <f>N36+N39+N45+N43</f>
        <v>12.938428600000002</v>
      </c>
      <c r="O35" s="243">
        <f>O36+O39+O45+O43</f>
        <v>36.227600079999995</v>
      </c>
      <c r="P35" s="243">
        <f>P36+P39+P45+P43</f>
        <v>2.58768572</v>
      </c>
      <c r="Q35" s="465" t="s">
        <v>598</v>
      </c>
      <c r="R35" s="465" t="s">
        <v>598</v>
      </c>
      <c r="S35" s="465" t="s">
        <v>598</v>
      </c>
      <c r="T35" s="465" t="s">
        <v>598</v>
      </c>
      <c r="U35" s="465" t="s">
        <v>598</v>
      </c>
      <c r="V35" s="465" t="s">
        <v>598</v>
      </c>
      <c r="W35" s="465" t="s">
        <v>598</v>
      </c>
      <c r="X35" s="465" t="s">
        <v>598</v>
      </c>
      <c r="Y35" s="466" t="s">
        <v>598</v>
      </c>
    </row>
    <row r="36" spans="1:25" ht="15.75">
      <c r="A36" s="222" t="s">
        <v>615</v>
      </c>
      <c r="B36" s="205" t="s">
        <v>550</v>
      </c>
      <c r="C36" s="302" t="s">
        <v>598</v>
      </c>
      <c r="D36" s="302" t="s">
        <v>598</v>
      </c>
      <c r="E36" s="302" t="s">
        <v>598</v>
      </c>
      <c r="F36" s="302" t="s">
        <v>598</v>
      </c>
      <c r="G36" s="302"/>
      <c r="H36" s="302"/>
      <c r="I36" s="463"/>
      <c r="J36" s="302"/>
      <c r="K36" s="453"/>
      <c r="L36" s="241">
        <f>SUM(M36:P36)</f>
        <v>3.3318479999999995</v>
      </c>
      <c r="M36" s="241"/>
      <c r="N36" s="241">
        <f>SUM(N37:N38)</f>
        <v>0.8329619999999999</v>
      </c>
      <c r="O36" s="241">
        <f>SUM(O37:O38)</f>
        <v>2.3322936</v>
      </c>
      <c r="P36" s="241">
        <f>SUM(P37:P38)</f>
        <v>0.16659239999999997</v>
      </c>
      <c r="Q36" s="461" t="s">
        <v>598</v>
      </c>
      <c r="R36" s="461" t="s">
        <v>598</v>
      </c>
      <c r="S36" s="461" t="s">
        <v>598</v>
      </c>
      <c r="T36" s="461" t="s">
        <v>598</v>
      </c>
      <c r="U36" s="461" t="s">
        <v>598</v>
      </c>
      <c r="V36" s="461" t="s">
        <v>598</v>
      </c>
      <c r="W36" s="461" t="s">
        <v>598</v>
      </c>
      <c r="X36" s="461" t="s">
        <v>598</v>
      </c>
      <c r="Y36" s="462" t="s">
        <v>598</v>
      </c>
    </row>
    <row r="37" spans="1:25" ht="15.75">
      <c r="A37" s="6"/>
      <c r="B37" s="206" t="s">
        <v>551</v>
      </c>
      <c r="C37" s="6" t="s">
        <v>598</v>
      </c>
      <c r="D37" s="6" t="s">
        <v>598</v>
      </c>
      <c r="E37" s="6" t="s">
        <v>598</v>
      </c>
      <c r="F37" s="6" t="s">
        <v>598</v>
      </c>
      <c r="G37" s="6">
        <v>1972</v>
      </c>
      <c r="H37" s="6">
        <v>20</v>
      </c>
      <c r="I37" s="6" t="s">
        <v>598</v>
      </c>
      <c r="J37" s="6" t="s">
        <v>417</v>
      </c>
      <c r="K37" s="6">
        <v>0.89</v>
      </c>
      <c r="L37" s="242">
        <f>'приложение 1.1'!L38</f>
        <v>0.9970173999999998</v>
      </c>
      <c r="M37" s="242"/>
      <c r="N37" s="242">
        <f>L37*0.25</f>
        <v>0.24925434999999996</v>
      </c>
      <c r="O37" s="242">
        <f>L37*0.7</f>
        <v>0.6979121799999999</v>
      </c>
      <c r="P37" s="242">
        <f>L37*0.05</f>
        <v>0.04985086999999999</v>
      </c>
      <c r="Q37" s="269" t="s">
        <v>598</v>
      </c>
      <c r="R37" s="269" t="s">
        <v>598</v>
      </c>
      <c r="S37" s="269" t="s">
        <v>598</v>
      </c>
      <c r="T37" s="269" t="s">
        <v>598</v>
      </c>
      <c r="U37" s="269" t="s">
        <v>598</v>
      </c>
      <c r="V37" s="269" t="s">
        <v>598</v>
      </c>
      <c r="W37" s="269" t="s">
        <v>598</v>
      </c>
      <c r="X37" s="269" t="s">
        <v>598</v>
      </c>
      <c r="Y37" s="425" t="s">
        <v>598</v>
      </c>
    </row>
    <row r="38" spans="1:25" ht="15.75">
      <c r="A38" s="76"/>
      <c r="B38" s="206" t="s">
        <v>552</v>
      </c>
      <c r="C38" s="6"/>
      <c r="D38" s="6"/>
      <c r="E38" s="6"/>
      <c r="F38" s="6"/>
      <c r="G38" s="6">
        <v>1974</v>
      </c>
      <c r="H38" s="6">
        <v>20</v>
      </c>
      <c r="I38" s="6" t="s">
        <v>598</v>
      </c>
      <c r="J38" s="6" t="s">
        <v>418</v>
      </c>
      <c r="K38" s="76">
        <v>1.288</v>
      </c>
      <c r="L38" s="242">
        <f>'приложение 1.1'!L39</f>
        <v>2.3348305999999996</v>
      </c>
      <c r="M38" s="242"/>
      <c r="N38" s="242">
        <f>L38*0.25</f>
        <v>0.5837076499999999</v>
      </c>
      <c r="O38" s="242">
        <f>L38*0.7</f>
        <v>1.6343814199999998</v>
      </c>
      <c r="P38" s="242">
        <f>L38*0.05</f>
        <v>0.11674152999999998</v>
      </c>
      <c r="Q38" s="269" t="s">
        <v>598</v>
      </c>
      <c r="R38" s="269" t="s">
        <v>598</v>
      </c>
      <c r="S38" s="269" t="s">
        <v>598</v>
      </c>
      <c r="T38" s="269" t="s">
        <v>598</v>
      </c>
      <c r="U38" s="269" t="s">
        <v>598</v>
      </c>
      <c r="V38" s="269" t="s">
        <v>598</v>
      </c>
      <c r="W38" s="269" t="s">
        <v>598</v>
      </c>
      <c r="X38" s="269" t="s">
        <v>598</v>
      </c>
      <c r="Y38" s="425" t="s">
        <v>598</v>
      </c>
    </row>
    <row r="39" spans="1:25" ht="15.75">
      <c r="A39" s="224" t="s">
        <v>616</v>
      </c>
      <c r="B39" s="210" t="s">
        <v>559</v>
      </c>
      <c r="C39" s="302"/>
      <c r="D39" s="302"/>
      <c r="E39" s="302"/>
      <c r="F39" s="302"/>
      <c r="G39" s="302"/>
      <c r="H39" s="302"/>
      <c r="I39" s="463"/>
      <c r="J39" s="302"/>
      <c r="K39" s="453"/>
      <c r="L39" s="241">
        <f>SUM(M39:P39)</f>
        <v>19.594466399999998</v>
      </c>
      <c r="M39" s="241"/>
      <c r="N39" s="241">
        <f>SUM(N40:N42)</f>
        <v>4.8986166</v>
      </c>
      <c r="O39" s="241">
        <f>SUM(O40:O42)</f>
        <v>13.716126479999998</v>
      </c>
      <c r="P39" s="241">
        <f>SUM(P40:P42)</f>
        <v>0.9797233200000001</v>
      </c>
      <c r="Q39" s="461" t="s">
        <v>598</v>
      </c>
      <c r="R39" s="461" t="s">
        <v>598</v>
      </c>
      <c r="S39" s="461" t="s">
        <v>598</v>
      </c>
      <c r="T39" s="461" t="s">
        <v>598</v>
      </c>
      <c r="U39" s="461" t="s">
        <v>598</v>
      </c>
      <c r="V39" s="461" t="s">
        <v>598</v>
      </c>
      <c r="W39" s="461" t="s">
        <v>598</v>
      </c>
      <c r="X39" s="461" t="s">
        <v>598</v>
      </c>
      <c r="Y39" s="462" t="s">
        <v>598</v>
      </c>
    </row>
    <row r="40" spans="1:25" s="16" customFormat="1" ht="31.5">
      <c r="A40" s="76"/>
      <c r="B40" s="446" t="s">
        <v>560</v>
      </c>
      <c r="C40" s="6">
        <v>2011</v>
      </c>
      <c r="D40" s="6">
        <v>25</v>
      </c>
      <c r="E40" s="6" t="s">
        <v>529</v>
      </c>
      <c r="F40" s="6">
        <v>0.4</v>
      </c>
      <c r="G40" s="6">
        <v>1975</v>
      </c>
      <c r="H40" s="6">
        <v>15</v>
      </c>
      <c r="I40" s="5" t="s">
        <v>421</v>
      </c>
      <c r="J40" s="6" t="s">
        <v>598</v>
      </c>
      <c r="K40" s="76">
        <v>4.6</v>
      </c>
      <c r="L40" s="242">
        <f>'приложение 1.1'!L41</f>
        <v>12.6092794</v>
      </c>
      <c r="M40" s="460"/>
      <c r="N40" s="242">
        <f>L40*0.25</f>
        <v>3.15231985</v>
      </c>
      <c r="O40" s="242">
        <f>L40*0.7</f>
        <v>8.82649558</v>
      </c>
      <c r="P40" s="242">
        <f>L40*0.05</f>
        <v>0.6304639700000001</v>
      </c>
      <c r="Q40" s="458" t="s">
        <v>598</v>
      </c>
      <c r="R40" s="458" t="s">
        <v>598</v>
      </c>
      <c r="S40" s="458" t="s">
        <v>598</v>
      </c>
      <c r="T40" s="458" t="s">
        <v>598</v>
      </c>
      <c r="U40" s="458" t="s">
        <v>598</v>
      </c>
      <c r="V40" s="458" t="s">
        <v>598</v>
      </c>
      <c r="W40" s="458" t="s">
        <v>598</v>
      </c>
      <c r="X40" s="458" t="s">
        <v>598</v>
      </c>
      <c r="Y40" s="459" t="s">
        <v>598</v>
      </c>
    </row>
    <row r="41" spans="1:25" s="16" customFormat="1" ht="15.75">
      <c r="A41" s="76"/>
      <c r="B41" s="446" t="s">
        <v>54</v>
      </c>
      <c r="C41" s="6">
        <v>2011</v>
      </c>
      <c r="D41" s="6">
        <v>25</v>
      </c>
      <c r="E41" s="6"/>
      <c r="F41" s="6"/>
      <c r="G41" s="6">
        <v>1975</v>
      </c>
      <c r="H41" s="6">
        <v>15</v>
      </c>
      <c r="I41" s="5" t="s">
        <v>421</v>
      </c>
      <c r="J41" s="6" t="s">
        <v>57</v>
      </c>
      <c r="K41" s="76">
        <v>0.78</v>
      </c>
      <c r="L41" s="242">
        <f>'приложение 1.1'!L42</f>
        <v>1.6275149999999998</v>
      </c>
      <c r="M41" s="460"/>
      <c r="N41" s="242">
        <f>L41*0.25</f>
        <v>0.40687874999999996</v>
      </c>
      <c r="O41" s="242">
        <f>L41*0.7</f>
        <v>1.1392604999999998</v>
      </c>
      <c r="P41" s="242">
        <f>L41*0.05</f>
        <v>0.08137575</v>
      </c>
      <c r="Q41" s="458"/>
      <c r="R41" s="458"/>
      <c r="S41" s="458"/>
      <c r="T41" s="458"/>
      <c r="U41" s="458"/>
      <c r="V41" s="458"/>
      <c r="W41" s="458"/>
      <c r="X41" s="458"/>
      <c r="Y41" s="459"/>
    </row>
    <row r="42" spans="1:25" s="16" customFormat="1" ht="47.25">
      <c r="A42" s="76"/>
      <c r="B42" s="446" t="s">
        <v>152</v>
      </c>
      <c r="C42" s="532">
        <v>2011</v>
      </c>
      <c r="D42" s="532">
        <v>25</v>
      </c>
      <c r="E42" s="532" t="s">
        <v>176</v>
      </c>
      <c r="F42" s="532">
        <v>0.16</v>
      </c>
      <c r="G42" s="534">
        <v>2011</v>
      </c>
      <c r="H42" s="534">
        <v>50</v>
      </c>
      <c r="I42" s="534" t="s">
        <v>522</v>
      </c>
      <c r="J42" s="535" t="s">
        <v>597</v>
      </c>
      <c r="K42" s="533">
        <v>2.95</v>
      </c>
      <c r="L42" s="242">
        <f>'приложение 1.1'!L43</f>
        <v>5.357672</v>
      </c>
      <c r="M42" s="460"/>
      <c r="N42" s="242">
        <f>L42*0.25</f>
        <v>1.339418</v>
      </c>
      <c r="O42" s="242">
        <f>L42*0.7</f>
        <v>3.7503703999999995</v>
      </c>
      <c r="P42" s="242">
        <f>L42*0.05</f>
        <v>0.2678836</v>
      </c>
      <c r="Q42" s="458" t="s">
        <v>598</v>
      </c>
      <c r="R42" s="458" t="s">
        <v>598</v>
      </c>
      <c r="S42" s="458" t="s">
        <v>598</v>
      </c>
      <c r="T42" s="458" t="s">
        <v>598</v>
      </c>
      <c r="U42" s="458" t="s">
        <v>598</v>
      </c>
      <c r="V42" s="458" t="s">
        <v>598</v>
      </c>
      <c r="W42" s="458" t="s">
        <v>598</v>
      </c>
      <c r="X42" s="458" t="s">
        <v>598</v>
      </c>
      <c r="Y42" s="326" t="s">
        <v>598</v>
      </c>
    </row>
    <row r="43" spans="1:25" ht="15.75">
      <c r="A43" s="224" t="s">
        <v>617</v>
      </c>
      <c r="B43" s="210" t="s">
        <v>673</v>
      </c>
      <c r="C43" s="302" t="s">
        <v>598</v>
      </c>
      <c r="D43" s="302" t="s">
        <v>598</v>
      </c>
      <c r="E43" s="302" t="s">
        <v>598</v>
      </c>
      <c r="F43" s="302" t="s">
        <v>598</v>
      </c>
      <c r="G43" s="302" t="s">
        <v>598</v>
      </c>
      <c r="H43" s="302" t="s">
        <v>598</v>
      </c>
      <c r="I43" s="302" t="s">
        <v>598</v>
      </c>
      <c r="J43" s="302" t="s">
        <v>598</v>
      </c>
      <c r="K43" s="302" t="s">
        <v>598</v>
      </c>
      <c r="L43" s="241">
        <f>SUM(N43:P43)</f>
        <v>17.027399999999997</v>
      </c>
      <c r="M43" s="468"/>
      <c r="N43" s="241">
        <f>N44</f>
        <v>4.256849999999999</v>
      </c>
      <c r="O43" s="241">
        <f>O44</f>
        <v>11.919179999999997</v>
      </c>
      <c r="P43" s="241">
        <f>P44</f>
        <v>0.8513699999999998</v>
      </c>
      <c r="Q43" s="461" t="s">
        <v>598</v>
      </c>
      <c r="R43" s="461" t="s">
        <v>598</v>
      </c>
      <c r="S43" s="461" t="s">
        <v>598</v>
      </c>
      <c r="T43" s="461" t="s">
        <v>598</v>
      </c>
      <c r="U43" s="461" t="s">
        <v>598</v>
      </c>
      <c r="V43" s="461" t="s">
        <v>598</v>
      </c>
      <c r="W43" s="461" t="s">
        <v>598</v>
      </c>
      <c r="X43" s="311" t="s">
        <v>598</v>
      </c>
      <c r="Y43" s="464" t="s">
        <v>598</v>
      </c>
    </row>
    <row r="44" spans="1:25" ht="31.5">
      <c r="A44" s="76"/>
      <c r="B44" s="208" t="s">
        <v>685</v>
      </c>
      <c r="C44" s="6">
        <v>1970</v>
      </c>
      <c r="D44" s="6">
        <v>25</v>
      </c>
      <c r="E44" s="6" t="s">
        <v>528</v>
      </c>
      <c r="F44" s="76">
        <v>3</v>
      </c>
      <c r="G44" s="6"/>
      <c r="H44" s="6"/>
      <c r="I44" s="6"/>
      <c r="J44" s="6"/>
      <c r="K44" s="6"/>
      <c r="L44" s="242">
        <f>'приложение 1.1'!L45</f>
        <v>17.027399999999997</v>
      </c>
      <c r="M44" s="242"/>
      <c r="N44" s="242">
        <f>L44*0.25</f>
        <v>4.256849999999999</v>
      </c>
      <c r="O44" s="242">
        <f>L44*0.7</f>
        <v>11.919179999999997</v>
      </c>
      <c r="P44" s="242">
        <f>L44*0.05</f>
        <v>0.8513699999999998</v>
      </c>
      <c r="Q44" s="269" t="s">
        <v>598</v>
      </c>
      <c r="R44" s="269" t="s">
        <v>598</v>
      </c>
      <c r="S44" s="269" t="s">
        <v>598</v>
      </c>
      <c r="T44" s="269" t="s">
        <v>598</v>
      </c>
      <c r="U44" s="269" t="s">
        <v>598</v>
      </c>
      <c r="V44" s="269" t="s">
        <v>598</v>
      </c>
      <c r="W44" s="269" t="s">
        <v>598</v>
      </c>
      <c r="X44" s="269" t="s">
        <v>598</v>
      </c>
      <c r="Y44" s="425" t="s">
        <v>598</v>
      </c>
    </row>
    <row r="45" spans="1:25" ht="15.75">
      <c r="A45" s="224" t="s">
        <v>618</v>
      </c>
      <c r="B45" s="210" t="s">
        <v>659</v>
      </c>
      <c r="C45" s="302" t="s">
        <v>598</v>
      </c>
      <c r="D45" s="302" t="s">
        <v>598</v>
      </c>
      <c r="E45" s="302" t="s">
        <v>598</v>
      </c>
      <c r="F45" s="302" t="s">
        <v>598</v>
      </c>
      <c r="G45" s="302" t="s">
        <v>598</v>
      </c>
      <c r="H45" s="302" t="s">
        <v>598</v>
      </c>
      <c r="I45" s="302" t="s">
        <v>598</v>
      </c>
      <c r="J45" s="302" t="s">
        <v>598</v>
      </c>
      <c r="K45" s="302" t="s">
        <v>598</v>
      </c>
      <c r="L45" s="241">
        <f>SUM(N45:P45)</f>
        <v>11.8</v>
      </c>
      <c r="M45" s="468"/>
      <c r="N45" s="241">
        <f>N46</f>
        <v>2.95</v>
      </c>
      <c r="O45" s="241">
        <f>O46</f>
        <v>8.26</v>
      </c>
      <c r="P45" s="241">
        <f>P46</f>
        <v>0.5900000000000001</v>
      </c>
      <c r="Q45" s="461" t="s">
        <v>598</v>
      </c>
      <c r="R45" s="461" t="s">
        <v>598</v>
      </c>
      <c r="S45" s="461" t="s">
        <v>598</v>
      </c>
      <c r="T45" s="461" t="s">
        <v>598</v>
      </c>
      <c r="U45" s="461" t="s">
        <v>598</v>
      </c>
      <c r="V45" s="461" t="s">
        <v>598</v>
      </c>
      <c r="W45" s="461" t="s">
        <v>598</v>
      </c>
      <c r="X45" s="311" t="s">
        <v>598</v>
      </c>
      <c r="Y45" s="464" t="s">
        <v>598</v>
      </c>
    </row>
    <row r="46" spans="1:25" ht="31.5">
      <c r="A46" s="582"/>
      <c r="B46" s="209" t="s">
        <v>56</v>
      </c>
      <c r="C46" s="6" t="s">
        <v>598</v>
      </c>
      <c r="D46" s="6" t="s">
        <v>598</v>
      </c>
      <c r="E46" s="6" t="s">
        <v>598</v>
      </c>
      <c r="F46" s="6" t="s">
        <v>598</v>
      </c>
      <c r="G46" s="6" t="s">
        <v>598</v>
      </c>
      <c r="H46" s="6" t="s">
        <v>598</v>
      </c>
      <c r="I46" s="6" t="s">
        <v>598</v>
      </c>
      <c r="J46" s="6" t="s">
        <v>598</v>
      </c>
      <c r="K46" s="6" t="s">
        <v>598</v>
      </c>
      <c r="L46" s="242">
        <f>'приложение 1.1'!L53</f>
        <v>11.8</v>
      </c>
      <c r="M46" s="249"/>
      <c r="N46" s="242">
        <f>L46*0.25</f>
        <v>2.95</v>
      </c>
      <c r="O46" s="242">
        <f>L46*0.7</f>
        <v>8.26</v>
      </c>
      <c r="P46" s="242">
        <f>L46*0.05</f>
        <v>0.5900000000000001</v>
      </c>
      <c r="Q46" s="269" t="s">
        <v>598</v>
      </c>
      <c r="R46" s="269" t="s">
        <v>598</v>
      </c>
      <c r="S46" s="269" t="s">
        <v>598</v>
      </c>
      <c r="T46" s="269" t="s">
        <v>598</v>
      </c>
      <c r="U46" s="269" t="s">
        <v>598</v>
      </c>
      <c r="V46" s="269" t="s">
        <v>598</v>
      </c>
      <c r="W46" s="269" t="s">
        <v>598</v>
      </c>
      <c r="X46" s="269" t="s">
        <v>598</v>
      </c>
      <c r="Y46" s="77" t="s">
        <v>598</v>
      </c>
    </row>
    <row r="47" spans="1:25" ht="31.5">
      <c r="A47" s="216" t="s">
        <v>80</v>
      </c>
      <c r="B47" s="218" t="s">
        <v>564</v>
      </c>
      <c r="C47" s="454" t="s">
        <v>598</v>
      </c>
      <c r="D47" s="454" t="s">
        <v>598</v>
      </c>
      <c r="E47" s="454" t="s">
        <v>598</v>
      </c>
      <c r="F47" s="454" t="s">
        <v>598</v>
      </c>
      <c r="G47" s="454" t="s">
        <v>598</v>
      </c>
      <c r="H47" s="454" t="s">
        <v>598</v>
      </c>
      <c r="I47" s="454" t="s">
        <v>598</v>
      </c>
      <c r="J47" s="454" t="s">
        <v>598</v>
      </c>
      <c r="K47" s="454" t="s">
        <v>598</v>
      </c>
      <c r="L47" s="243">
        <f>'приложение 1.1'!L54</f>
        <v>2.2746859999999995</v>
      </c>
      <c r="M47" s="248"/>
      <c r="N47" s="243"/>
      <c r="O47" s="243">
        <f>L47</f>
        <v>2.2746859999999995</v>
      </c>
      <c r="P47" s="243"/>
      <c r="Q47" s="465" t="s">
        <v>598</v>
      </c>
      <c r="R47" s="465" t="s">
        <v>598</v>
      </c>
      <c r="S47" s="465" t="s">
        <v>598</v>
      </c>
      <c r="T47" s="465" t="s">
        <v>598</v>
      </c>
      <c r="U47" s="465" t="s">
        <v>598</v>
      </c>
      <c r="V47" s="465" t="s">
        <v>598</v>
      </c>
      <c r="W47" s="465" t="s">
        <v>598</v>
      </c>
      <c r="X47" s="465" t="s">
        <v>598</v>
      </c>
      <c r="Y47" s="467" t="s">
        <v>598</v>
      </c>
    </row>
    <row r="48" spans="1:25" ht="31.5">
      <c r="A48" s="583" t="s">
        <v>82</v>
      </c>
      <c r="B48" s="218" t="s">
        <v>153</v>
      </c>
      <c r="C48" s="454" t="s">
        <v>598</v>
      </c>
      <c r="D48" s="454" t="s">
        <v>598</v>
      </c>
      <c r="E48" s="454" t="s">
        <v>598</v>
      </c>
      <c r="F48" s="454" t="s">
        <v>598</v>
      </c>
      <c r="G48" s="454" t="s">
        <v>598</v>
      </c>
      <c r="H48" s="454" t="s">
        <v>598</v>
      </c>
      <c r="I48" s="454" t="s">
        <v>598</v>
      </c>
      <c r="J48" s="454" t="s">
        <v>598</v>
      </c>
      <c r="K48" s="454" t="s">
        <v>598</v>
      </c>
      <c r="L48" s="243">
        <f>'приложение 1.1'!L55</f>
        <v>0.59</v>
      </c>
      <c r="M48" s="248"/>
      <c r="N48" s="243"/>
      <c r="O48" s="243">
        <f>L48</f>
        <v>0.59</v>
      </c>
      <c r="P48" s="243"/>
      <c r="Q48" s="465" t="s">
        <v>598</v>
      </c>
      <c r="R48" s="465" t="s">
        <v>598</v>
      </c>
      <c r="S48" s="465" t="s">
        <v>598</v>
      </c>
      <c r="T48" s="465" t="s">
        <v>598</v>
      </c>
      <c r="U48" s="465" t="s">
        <v>598</v>
      </c>
      <c r="V48" s="465" t="s">
        <v>598</v>
      </c>
      <c r="W48" s="465" t="s">
        <v>598</v>
      </c>
      <c r="X48" s="465" t="s">
        <v>598</v>
      </c>
      <c r="Y48" s="467" t="s">
        <v>598</v>
      </c>
    </row>
    <row r="49" spans="1:25" ht="31.5">
      <c r="A49" s="583" t="s">
        <v>92</v>
      </c>
      <c r="B49" s="220" t="s">
        <v>565</v>
      </c>
      <c r="C49" s="454" t="s">
        <v>598</v>
      </c>
      <c r="D49" s="454" t="s">
        <v>598</v>
      </c>
      <c r="E49" s="454" t="s">
        <v>598</v>
      </c>
      <c r="F49" s="454" t="s">
        <v>598</v>
      </c>
      <c r="G49" s="454" t="s">
        <v>598</v>
      </c>
      <c r="H49" s="454" t="s">
        <v>598</v>
      </c>
      <c r="I49" s="454" t="s">
        <v>598</v>
      </c>
      <c r="J49" s="454" t="s">
        <v>598</v>
      </c>
      <c r="K49" s="454" t="s">
        <v>598</v>
      </c>
      <c r="L49" s="243">
        <f>SUM(M49:P49)</f>
        <v>17.7399548</v>
      </c>
      <c r="M49" s="248">
        <f>SUM(M50:M52)</f>
        <v>17.7399548</v>
      </c>
      <c r="N49" s="248">
        <f>SUM(N50:N52)</f>
        <v>0</v>
      </c>
      <c r="O49" s="248">
        <f>SUM(O50:O52)</f>
        <v>0</v>
      </c>
      <c r="P49" s="248">
        <f>SUM(P50:P52)</f>
        <v>0</v>
      </c>
      <c r="Q49" s="465"/>
      <c r="R49" s="465"/>
      <c r="S49" s="465"/>
      <c r="T49" s="465"/>
      <c r="U49" s="465"/>
      <c r="V49" s="465"/>
      <c r="W49" s="465"/>
      <c r="X49" s="465"/>
      <c r="Y49" s="467"/>
    </row>
    <row r="50" spans="1:25" s="16" customFormat="1" ht="15.75">
      <c r="A50" s="76"/>
      <c r="B50" s="213" t="s">
        <v>561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42">
        <f>'приложение 1.1'!L57</f>
        <v>16.609986799999998</v>
      </c>
      <c r="M50" s="249">
        <f>L50</f>
        <v>16.609986799999998</v>
      </c>
      <c r="N50" s="460"/>
      <c r="O50" s="460"/>
      <c r="P50" s="460"/>
      <c r="Q50" s="458" t="s">
        <v>598</v>
      </c>
      <c r="R50" s="458" t="s">
        <v>598</v>
      </c>
      <c r="S50" s="458" t="s">
        <v>598</v>
      </c>
      <c r="T50" s="458" t="s">
        <v>598</v>
      </c>
      <c r="U50" s="458" t="s">
        <v>598</v>
      </c>
      <c r="V50" s="458" t="s">
        <v>598</v>
      </c>
      <c r="W50" s="458" t="s">
        <v>598</v>
      </c>
      <c r="X50" s="458" t="s">
        <v>598</v>
      </c>
      <c r="Y50" s="459" t="s">
        <v>598</v>
      </c>
    </row>
    <row r="51" spans="1:25" ht="15.75">
      <c r="A51" s="76"/>
      <c r="B51" s="213" t="s">
        <v>562</v>
      </c>
      <c r="C51" s="269"/>
      <c r="D51" s="269"/>
      <c r="E51" s="10"/>
      <c r="F51" s="269"/>
      <c r="G51" s="6" t="s">
        <v>598</v>
      </c>
      <c r="H51" s="6" t="s">
        <v>598</v>
      </c>
      <c r="I51" s="6" t="s">
        <v>598</v>
      </c>
      <c r="J51" s="6" t="s">
        <v>598</v>
      </c>
      <c r="K51" s="6" t="s">
        <v>598</v>
      </c>
      <c r="L51" s="242">
        <f>'приложение 1.1'!L58</f>
        <v>0</v>
      </c>
      <c r="M51" s="249">
        <f>L51</f>
        <v>0</v>
      </c>
      <c r="N51" s="242"/>
      <c r="O51" s="242"/>
      <c r="P51" s="242"/>
      <c r="Q51" s="269" t="s">
        <v>598</v>
      </c>
      <c r="R51" s="269" t="s">
        <v>598</v>
      </c>
      <c r="S51" s="269" t="s">
        <v>598</v>
      </c>
      <c r="T51" s="269" t="s">
        <v>598</v>
      </c>
      <c r="U51" s="269" t="s">
        <v>598</v>
      </c>
      <c r="V51" s="269" t="s">
        <v>598</v>
      </c>
      <c r="W51" s="269" t="s">
        <v>598</v>
      </c>
      <c r="X51" s="269" t="s">
        <v>598</v>
      </c>
      <c r="Y51" s="425" t="s">
        <v>598</v>
      </c>
    </row>
    <row r="52" spans="1:25" ht="15.75">
      <c r="A52" s="6"/>
      <c r="B52" s="213" t="s">
        <v>563</v>
      </c>
      <c r="C52" s="269"/>
      <c r="D52" s="269"/>
      <c r="E52" s="10"/>
      <c r="F52" s="269"/>
      <c r="G52" s="6" t="s">
        <v>598</v>
      </c>
      <c r="H52" s="6" t="s">
        <v>598</v>
      </c>
      <c r="I52" s="6" t="s">
        <v>598</v>
      </c>
      <c r="J52" s="6" t="s">
        <v>598</v>
      </c>
      <c r="K52" s="6" t="s">
        <v>598</v>
      </c>
      <c r="L52" s="242">
        <f>'приложение 1.1'!L59</f>
        <v>1.129968000000001</v>
      </c>
      <c r="M52" s="249">
        <f>L52</f>
        <v>1.129968000000001</v>
      </c>
      <c r="N52" s="242"/>
      <c r="O52" s="242"/>
      <c r="P52" s="242"/>
      <c r="Q52" s="269" t="s">
        <v>598</v>
      </c>
      <c r="R52" s="269" t="s">
        <v>598</v>
      </c>
      <c r="S52" s="269" t="s">
        <v>598</v>
      </c>
      <c r="T52" s="269" t="s">
        <v>598</v>
      </c>
      <c r="U52" s="269" t="s">
        <v>598</v>
      </c>
      <c r="V52" s="269" t="s">
        <v>598</v>
      </c>
      <c r="W52" s="269" t="s">
        <v>598</v>
      </c>
      <c r="X52" s="269" t="s">
        <v>598</v>
      </c>
      <c r="Y52" s="425" t="s">
        <v>598</v>
      </c>
    </row>
    <row r="53" spans="1:16" ht="15.7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5"/>
      <c r="O53" s="35"/>
      <c r="P53" s="35"/>
    </row>
    <row r="54" spans="1:16" ht="15.75">
      <c r="A54" s="28"/>
      <c r="B54" s="901" t="s">
        <v>491</v>
      </c>
      <c r="C54" s="901"/>
      <c r="D54" s="901"/>
      <c r="E54" s="901"/>
      <c r="F54" s="901"/>
      <c r="G54" s="901"/>
      <c r="H54" s="901"/>
      <c r="I54" s="901"/>
      <c r="J54" s="901"/>
      <c r="K54" s="901"/>
      <c r="L54" s="901"/>
      <c r="M54" s="901"/>
      <c r="N54" s="901"/>
      <c r="O54" s="901"/>
      <c r="P54" s="901"/>
    </row>
    <row r="55" ht="15.75">
      <c r="A55" s="21"/>
    </row>
    <row r="56" spans="1:16" ht="15.75" customHeight="1">
      <c r="A56" s="21"/>
      <c r="N56" s="1"/>
      <c r="O56" s="1"/>
      <c r="P56" s="1"/>
    </row>
    <row r="57" spans="1:16" ht="15.75" customHeight="1">
      <c r="A57" s="21"/>
      <c r="B57" s="901"/>
      <c r="C57" s="901"/>
      <c r="D57" s="901"/>
      <c r="E57" s="901"/>
      <c r="F57" s="901"/>
      <c r="G57" s="901"/>
      <c r="H57" s="901"/>
      <c r="I57" s="901"/>
      <c r="J57" s="901"/>
      <c r="K57" s="901"/>
      <c r="L57" s="901"/>
      <c r="M57" s="901"/>
      <c r="N57" s="901"/>
      <c r="O57" s="901"/>
      <c r="P57" s="901"/>
    </row>
    <row r="58" ht="15.75">
      <c r="A58" s="21"/>
    </row>
    <row r="59" spans="1:7" ht="15.75">
      <c r="A59" s="21"/>
      <c r="B59" s="899"/>
      <c r="C59" s="899"/>
      <c r="D59" s="899"/>
      <c r="E59" s="899"/>
      <c r="F59" s="899"/>
      <c r="G59" s="899"/>
    </row>
    <row r="60" spans="2:16" ht="33.75" customHeight="1">
      <c r="B60" s="568"/>
      <c r="C60" s="568"/>
      <c r="D60" s="568"/>
      <c r="E60" s="568"/>
      <c r="F60" s="586"/>
      <c r="G60" s="568"/>
      <c r="N60" s="1"/>
      <c r="O60" s="1"/>
      <c r="P60" s="1"/>
    </row>
    <row r="61" spans="1:7" ht="15.75">
      <c r="A61" s="18"/>
      <c r="B61" s="568"/>
      <c r="C61" s="568"/>
      <c r="D61" s="568"/>
      <c r="E61" s="568"/>
      <c r="F61" s="586"/>
      <c r="G61" s="568"/>
    </row>
    <row r="62" spans="2:7" ht="15.75">
      <c r="B62" s="568"/>
      <c r="C62" s="568"/>
      <c r="D62" s="568"/>
      <c r="E62" s="568"/>
      <c r="F62" s="586"/>
      <c r="G62" s="568"/>
    </row>
    <row r="63" spans="2:7" ht="15.75">
      <c r="B63" s="899"/>
      <c r="C63" s="899"/>
      <c r="D63" s="899"/>
      <c r="E63" s="899"/>
      <c r="F63" s="586"/>
      <c r="G63" s="566"/>
    </row>
    <row r="64" spans="2:7" ht="15.75">
      <c r="B64" s="572"/>
      <c r="C64" s="572"/>
      <c r="D64" s="572"/>
      <c r="E64" s="572"/>
      <c r="F64" s="572"/>
      <c r="G64" s="572"/>
    </row>
    <row r="65" spans="2:7" ht="15.75">
      <c r="B65" s="899"/>
      <c r="C65" s="899"/>
      <c r="D65" s="899"/>
      <c r="E65" s="899"/>
      <c r="F65" s="586"/>
      <c r="G65" s="566"/>
    </row>
  </sheetData>
  <sheetProtection/>
  <protectedRanges>
    <protectedRange sqref="B32:B34" name="Диапазон1_91_2_2_2_3_1"/>
  </protectedRanges>
  <mergeCells count="19">
    <mergeCell ref="A6:Y6"/>
    <mergeCell ref="A16:A18"/>
    <mergeCell ref="B16:B18"/>
    <mergeCell ref="C16:K16"/>
    <mergeCell ref="L16:P17"/>
    <mergeCell ref="Q16:Y16"/>
    <mergeCell ref="C17:F17"/>
    <mergeCell ref="U17:Y17"/>
    <mergeCell ref="G17:K17"/>
    <mergeCell ref="Q17:T17"/>
    <mergeCell ref="F59:G59"/>
    <mergeCell ref="B54:P54"/>
    <mergeCell ref="B57:P57"/>
    <mergeCell ref="B63:C63"/>
    <mergeCell ref="D63:E63"/>
    <mergeCell ref="B65:C65"/>
    <mergeCell ref="D65:E65"/>
    <mergeCell ref="B59:C59"/>
    <mergeCell ref="D59:E59"/>
  </mergeCells>
  <printOptions horizontalCentered="1"/>
  <pageMargins left="0" right="0" top="0.1968503937007874" bottom="0.1968503937007874" header="0" footer="0"/>
  <pageSetup fitToHeight="2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57"/>
  <sheetViews>
    <sheetView view="pageBreakPreview" zoomScale="75" zoomScaleNormal="80" zoomScaleSheetLayoutView="75" zoomScalePageLayoutView="0" workbookViewId="0" topLeftCell="A18">
      <selection activeCell="A21" sqref="A21:B47"/>
    </sheetView>
  </sheetViews>
  <sheetFormatPr defaultColWidth="9.00390625" defaultRowHeight="15.75"/>
  <cols>
    <col min="1" max="1" width="7.25390625" style="1" customWidth="1"/>
    <col min="2" max="2" width="43.375" style="1" customWidth="1"/>
    <col min="3" max="3" width="5.75390625" style="1" customWidth="1"/>
    <col min="4" max="4" width="5.25390625" style="1" customWidth="1"/>
    <col min="5" max="8" width="4.375" style="1" customWidth="1"/>
    <col min="9" max="9" width="5.75390625" style="1" customWidth="1"/>
    <col min="10" max="10" width="6.00390625" style="1" customWidth="1"/>
    <col min="11" max="14" width="4.375" style="1" customWidth="1"/>
    <col min="15" max="16384" width="9.00390625" style="1" customWidth="1"/>
  </cols>
  <sheetData>
    <row r="1" spans="1:14" ht="15.75">
      <c r="A1" s="16"/>
      <c r="E1" s="928" t="s">
        <v>493</v>
      </c>
      <c r="F1" s="928"/>
      <c r="G1" s="928"/>
      <c r="H1" s="928"/>
      <c r="I1" s="928"/>
      <c r="J1" s="928"/>
      <c r="K1" s="928"/>
      <c r="L1" s="928"/>
      <c r="M1" s="928"/>
      <c r="N1" s="928"/>
    </row>
    <row r="2" spans="1:14" ht="15.75">
      <c r="A2" s="16"/>
      <c r="E2" s="928" t="s">
        <v>292</v>
      </c>
      <c r="F2" s="928"/>
      <c r="G2" s="928"/>
      <c r="H2" s="928"/>
      <c r="I2" s="928"/>
      <c r="J2" s="928"/>
      <c r="K2" s="928"/>
      <c r="L2" s="928"/>
      <c r="M2" s="928"/>
      <c r="N2" s="928"/>
    </row>
    <row r="3" spans="1:14" ht="15.75">
      <c r="A3" s="16"/>
      <c r="E3" s="928" t="s">
        <v>70</v>
      </c>
      <c r="F3" s="928"/>
      <c r="G3" s="928"/>
      <c r="H3" s="928"/>
      <c r="I3" s="928"/>
      <c r="J3" s="928"/>
      <c r="K3" s="928"/>
      <c r="L3" s="928"/>
      <c r="M3" s="928"/>
      <c r="N3" s="928"/>
    </row>
    <row r="4" spans="1:14" ht="15.75">
      <c r="A4" s="1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16"/>
      <c r="B5" s="511" t="s">
        <v>154</v>
      </c>
      <c r="C5" s="512"/>
      <c r="E5" s="4"/>
      <c r="F5" s="4"/>
      <c r="G5" s="4"/>
      <c r="H5" s="70" t="s">
        <v>154</v>
      </c>
      <c r="K5" s="4"/>
      <c r="L5" s="4"/>
      <c r="M5" s="4"/>
      <c r="N5" s="4"/>
    </row>
    <row r="6" spans="1:14" ht="15.75">
      <c r="A6" s="16"/>
      <c r="B6" s="929" t="s">
        <v>155</v>
      </c>
      <c r="C6" s="929"/>
      <c r="E6" s="4"/>
      <c r="F6" s="4"/>
      <c r="G6" s="4"/>
      <c r="H6" s="1" t="s">
        <v>568</v>
      </c>
      <c r="J6" s="4"/>
      <c r="K6" s="4"/>
      <c r="L6" s="4"/>
      <c r="M6" s="4"/>
      <c r="N6" s="4"/>
    </row>
    <row r="7" spans="1:14" ht="15.75">
      <c r="A7" s="16"/>
      <c r="B7" s="511" t="s">
        <v>156</v>
      </c>
      <c r="C7" s="512"/>
      <c r="E7" s="4"/>
      <c r="F7" s="4"/>
      <c r="G7" s="4"/>
      <c r="H7" s="1" t="s">
        <v>569</v>
      </c>
      <c r="J7" s="4"/>
      <c r="K7" s="4"/>
      <c r="L7" s="4"/>
      <c r="M7" s="4"/>
      <c r="N7" s="4"/>
    </row>
    <row r="8" spans="1:14" ht="15.75" customHeight="1">
      <c r="A8" s="16"/>
      <c r="B8" s="511" t="s">
        <v>44</v>
      </c>
      <c r="C8" s="512"/>
      <c r="E8" s="136"/>
      <c r="F8" s="136"/>
      <c r="G8" s="136"/>
      <c r="H8" s="13"/>
      <c r="I8" s="13"/>
      <c r="J8" s="536"/>
      <c r="K8" s="233"/>
      <c r="L8" s="136"/>
      <c r="M8" s="136"/>
      <c r="N8" s="136"/>
    </row>
    <row r="9" spans="1:14" ht="22.5" customHeight="1">
      <c r="A9" s="16"/>
      <c r="B9" s="511" t="s">
        <v>45</v>
      </c>
      <c r="C9" s="512"/>
      <c r="E9" s="4"/>
      <c r="F9" s="4"/>
      <c r="G9" s="4"/>
      <c r="H9" s="564" t="s">
        <v>159</v>
      </c>
      <c r="I9" s="68"/>
      <c r="J9" s="68"/>
      <c r="K9" s="307"/>
      <c r="L9" s="307"/>
      <c r="M9" s="307"/>
      <c r="N9" s="307"/>
    </row>
    <row r="10" spans="1:14" ht="15.75">
      <c r="A10" s="16"/>
      <c r="B10" s="511"/>
      <c r="C10" s="512"/>
      <c r="E10" s="4"/>
      <c r="F10" s="4"/>
      <c r="G10" s="4"/>
      <c r="H10" s="68"/>
      <c r="I10" s="68"/>
      <c r="J10" s="307"/>
      <c r="K10" s="307"/>
      <c r="L10" s="307"/>
      <c r="M10" s="307"/>
      <c r="N10" s="307"/>
    </row>
    <row r="11" spans="1:14" ht="19.5" customHeight="1">
      <c r="A11" s="16"/>
      <c r="B11" s="511" t="s">
        <v>46</v>
      </c>
      <c r="C11" s="512"/>
      <c r="H11" s="68" t="s">
        <v>58</v>
      </c>
      <c r="I11" s="68"/>
      <c r="J11" s="68"/>
      <c r="K11" s="307"/>
      <c r="L11" s="68"/>
      <c r="M11" s="68"/>
      <c r="N11" s="307"/>
    </row>
    <row r="12" spans="1:14" ht="15.75">
      <c r="A12" s="16"/>
      <c r="K12" s="4"/>
      <c r="N12" s="4"/>
    </row>
    <row r="13" spans="1:14" ht="15.75">
      <c r="A13" s="16"/>
      <c r="K13" s="4"/>
      <c r="N13" s="4"/>
    </row>
    <row r="14" spans="1:14" ht="18.75">
      <c r="A14" s="903" t="s">
        <v>139</v>
      </c>
      <c r="B14" s="903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</row>
    <row r="15" spans="1:14" ht="36" customHeight="1">
      <c r="A15" s="930" t="s">
        <v>426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</row>
    <row r="16" ht="10.5" customHeight="1" thickBot="1">
      <c r="A16" s="18"/>
    </row>
    <row r="17" spans="1:14" ht="15.75" customHeight="1">
      <c r="A17" s="919" t="s">
        <v>609</v>
      </c>
      <c r="B17" s="932" t="s">
        <v>661</v>
      </c>
      <c r="C17" s="931" t="s">
        <v>651</v>
      </c>
      <c r="D17" s="923"/>
      <c r="E17" s="923"/>
      <c r="F17" s="923"/>
      <c r="G17" s="923"/>
      <c r="H17" s="924"/>
      <c r="I17" s="922" t="s">
        <v>137</v>
      </c>
      <c r="J17" s="923"/>
      <c r="K17" s="923"/>
      <c r="L17" s="923"/>
      <c r="M17" s="923"/>
      <c r="N17" s="924"/>
    </row>
    <row r="18" spans="1:14" ht="16.5" customHeight="1">
      <c r="A18" s="920"/>
      <c r="B18" s="933"/>
      <c r="C18" s="939" t="s">
        <v>662</v>
      </c>
      <c r="D18" s="926"/>
      <c r="E18" s="926"/>
      <c r="F18" s="926"/>
      <c r="G18" s="926"/>
      <c r="H18" s="927"/>
      <c r="I18" s="925" t="s">
        <v>662</v>
      </c>
      <c r="J18" s="926"/>
      <c r="K18" s="926"/>
      <c r="L18" s="926"/>
      <c r="M18" s="926"/>
      <c r="N18" s="927"/>
    </row>
    <row r="19" spans="1:14" ht="16.5" thickBot="1">
      <c r="A19" s="921"/>
      <c r="B19" s="934"/>
      <c r="C19" s="938">
        <v>2011</v>
      </c>
      <c r="D19" s="935"/>
      <c r="E19" s="935">
        <v>2012</v>
      </c>
      <c r="F19" s="935"/>
      <c r="G19" s="935">
        <v>2013</v>
      </c>
      <c r="H19" s="936"/>
      <c r="I19" s="937">
        <v>2011</v>
      </c>
      <c r="J19" s="935"/>
      <c r="K19" s="935">
        <v>2012</v>
      </c>
      <c r="L19" s="935"/>
      <c r="M19" s="935">
        <v>2013</v>
      </c>
      <c r="N19" s="936"/>
    </row>
    <row r="20" spans="1:14" ht="15.75">
      <c r="A20" s="204">
        <v>1</v>
      </c>
      <c r="B20" s="250">
        <v>2</v>
      </c>
      <c r="C20" s="940">
        <v>3</v>
      </c>
      <c r="D20" s="905"/>
      <c r="E20" s="905">
        <v>4</v>
      </c>
      <c r="F20" s="905"/>
      <c r="G20" s="905">
        <v>5</v>
      </c>
      <c r="H20" s="941"/>
      <c r="I20" s="940">
        <v>6</v>
      </c>
      <c r="J20" s="905"/>
      <c r="K20" s="905">
        <v>7</v>
      </c>
      <c r="L20" s="905"/>
      <c r="M20" s="905">
        <v>8</v>
      </c>
      <c r="N20" s="941"/>
    </row>
    <row r="21" spans="1:14" ht="31.5">
      <c r="A21" s="84">
        <v>1</v>
      </c>
      <c r="B21" s="598" t="s">
        <v>181</v>
      </c>
      <c r="C21" s="86"/>
      <c r="D21" s="85"/>
      <c r="E21" s="85"/>
      <c r="F21" s="85"/>
      <c r="G21" s="85"/>
      <c r="H21" s="597"/>
      <c r="I21" s="86"/>
      <c r="J21" s="85"/>
      <c r="K21" s="85"/>
      <c r="L21" s="85"/>
      <c r="M21" s="85"/>
      <c r="N21" s="597"/>
    </row>
    <row r="22" spans="1:14" ht="15.75">
      <c r="A22" s="84" t="s">
        <v>612</v>
      </c>
      <c r="B22" s="598" t="s">
        <v>550</v>
      </c>
      <c r="C22" s="86"/>
      <c r="D22" s="85"/>
      <c r="E22" s="85"/>
      <c r="F22" s="85"/>
      <c r="G22" s="85"/>
      <c r="H22" s="597"/>
      <c r="I22" s="86"/>
      <c r="J22" s="85"/>
      <c r="K22" s="85"/>
      <c r="L22" s="85"/>
      <c r="M22" s="85"/>
      <c r="N22" s="597"/>
    </row>
    <row r="23" spans="1:14" ht="31.5">
      <c r="A23" s="200" t="s">
        <v>637</v>
      </c>
      <c r="B23" s="206" t="s">
        <v>575</v>
      </c>
      <c r="C23" s="350">
        <v>1.62</v>
      </c>
      <c r="D23" s="351" t="s">
        <v>572</v>
      </c>
      <c r="E23" s="352"/>
      <c r="F23" s="352"/>
      <c r="G23" s="352"/>
      <c r="H23" s="353"/>
      <c r="I23" s="350">
        <v>1.62</v>
      </c>
      <c r="J23" s="351" t="s">
        <v>572</v>
      </c>
      <c r="K23" s="199"/>
      <c r="L23" s="199"/>
      <c r="M23" s="199"/>
      <c r="N23" s="251"/>
    </row>
    <row r="24" spans="1:14" ht="31.5">
      <c r="A24" s="200" t="s">
        <v>650</v>
      </c>
      <c r="B24" s="207" t="s">
        <v>423</v>
      </c>
      <c r="C24" s="350">
        <v>6.76</v>
      </c>
      <c r="D24" s="351" t="s">
        <v>572</v>
      </c>
      <c r="E24" s="352"/>
      <c r="F24" s="352"/>
      <c r="G24" s="352"/>
      <c r="H24" s="353"/>
      <c r="I24" s="350">
        <v>6.76</v>
      </c>
      <c r="J24" s="351" t="s">
        <v>572</v>
      </c>
      <c r="K24" s="199"/>
      <c r="L24" s="199"/>
      <c r="M24" s="199"/>
      <c r="N24" s="251"/>
    </row>
    <row r="25" spans="1:14" ht="15.75">
      <c r="A25" s="200" t="s">
        <v>613</v>
      </c>
      <c r="B25" s="598" t="s">
        <v>559</v>
      </c>
      <c r="C25" s="354"/>
      <c r="D25" s="351"/>
      <c r="E25" s="352"/>
      <c r="F25" s="352"/>
      <c r="G25" s="352"/>
      <c r="H25" s="353"/>
      <c r="I25" s="354"/>
      <c r="J25" s="351"/>
      <c r="K25" s="199"/>
      <c r="L25" s="199"/>
      <c r="M25" s="199"/>
      <c r="N25" s="251"/>
    </row>
    <row r="26" spans="1:14" ht="31.5">
      <c r="A26" s="200" t="s">
        <v>312</v>
      </c>
      <c r="B26" s="211" t="s">
        <v>59</v>
      </c>
      <c r="C26" s="350">
        <v>0.698</v>
      </c>
      <c r="D26" s="351" t="s">
        <v>572</v>
      </c>
      <c r="E26" s="352"/>
      <c r="F26" s="352"/>
      <c r="G26" s="352"/>
      <c r="H26" s="353"/>
      <c r="I26" s="350">
        <v>0.698</v>
      </c>
      <c r="J26" s="351" t="s">
        <v>572</v>
      </c>
      <c r="K26" s="199"/>
      <c r="L26" s="199"/>
      <c r="M26" s="199"/>
      <c r="N26" s="251"/>
    </row>
    <row r="27" spans="1:14" ht="15.75">
      <c r="A27" s="200"/>
      <c r="B27" s="599" t="s">
        <v>554</v>
      </c>
      <c r="C27" s="354"/>
      <c r="D27" s="351"/>
      <c r="E27" s="352"/>
      <c r="F27" s="352"/>
      <c r="G27" s="352"/>
      <c r="H27" s="353"/>
      <c r="I27" s="354"/>
      <c r="J27" s="351"/>
      <c r="K27" s="199"/>
      <c r="L27" s="199"/>
      <c r="M27" s="199"/>
      <c r="N27" s="251"/>
    </row>
    <row r="28" spans="1:14" ht="31.5">
      <c r="A28" s="200">
        <v>5</v>
      </c>
      <c r="B28" s="208" t="s">
        <v>555</v>
      </c>
      <c r="C28" s="354">
        <v>3.9</v>
      </c>
      <c r="D28" s="351" t="s">
        <v>531</v>
      </c>
      <c r="E28" s="352"/>
      <c r="F28" s="352"/>
      <c r="G28" s="352"/>
      <c r="H28" s="353"/>
      <c r="I28" s="354">
        <v>3.9</v>
      </c>
      <c r="J28" s="351" t="s">
        <v>531</v>
      </c>
      <c r="K28" s="199"/>
      <c r="L28" s="199"/>
      <c r="M28" s="199"/>
      <c r="N28" s="251"/>
    </row>
    <row r="29" spans="1:14" ht="15.75">
      <c r="A29" s="200">
        <v>6</v>
      </c>
      <c r="B29" s="208" t="s">
        <v>556</v>
      </c>
      <c r="C29" s="354">
        <v>0.4</v>
      </c>
      <c r="D29" s="351" t="s">
        <v>531</v>
      </c>
      <c r="E29" s="352"/>
      <c r="F29" s="352"/>
      <c r="G29" s="352"/>
      <c r="H29" s="353"/>
      <c r="I29" s="354">
        <v>0.4</v>
      </c>
      <c r="J29" s="351" t="s">
        <v>531</v>
      </c>
      <c r="K29" s="199"/>
      <c r="L29" s="199"/>
      <c r="M29" s="199"/>
      <c r="N29" s="251"/>
    </row>
    <row r="30" spans="1:14" ht="15.75">
      <c r="A30" s="200">
        <v>7</v>
      </c>
      <c r="B30" s="208" t="s">
        <v>552</v>
      </c>
      <c r="C30" s="354">
        <v>1.26</v>
      </c>
      <c r="D30" s="351" t="s">
        <v>531</v>
      </c>
      <c r="E30" s="352"/>
      <c r="F30" s="352"/>
      <c r="G30" s="352"/>
      <c r="H30" s="353"/>
      <c r="I30" s="354">
        <v>1.26</v>
      </c>
      <c r="J30" s="351" t="s">
        <v>531</v>
      </c>
      <c r="K30" s="199"/>
      <c r="L30" s="199"/>
      <c r="M30" s="199"/>
      <c r="N30" s="251"/>
    </row>
    <row r="31" spans="1:14" ht="15.75">
      <c r="A31" s="200">
        <v>8</v>
      </c>
      <c r="B31" s="208" t="s">
        <v>557</v>
      </c>
      <c r="C31" s="354">
        <v>1.26</v>
      </c>
      <c r="D31" s="351" t="s">
        <v>531</v>
      </c>
      <c r="E31" s="352"/>
      <c r="F31" s="352"/>
      <c r="G31" s="352"/>
      <c r="H31" s="353"/>
      <c r="I31" s="354">
        <v>1.26</v>
      </c>
      <c r="J31" s="351" t="s">
        <v>531</v>
      </c>
      <c r="K31" s="199"/>
      <c r="L31" s="199"/>
      <c r="M31" s="199"/>
      <c r="N31" s="251"/>
    </row>
    <row r="32" spans="1:14" ht="15.75">
      <c r="A32" s="200">
        <v>9</v>
      </c>
      <c r="B32" s="208" t="s">
        <v>558</v>
      </c>
      <c r="C32" s="354">
        <v>0.8</v>
      </c>
      <c r="D32" s="351" t="s">
        <v>531</v>
      </c>
      <c r="E32" s="352"/>
      <c r="F32" s="352"/>
      <c r="G32" s="352"/>
      <c r="H32" s="353"/>
      <c r="I32" s="354">
        <v>0.8</v>
      </c>
      <c r="J32" s="351" t="s">
        <v>531</v>
      </c>
      <c r="K32" s="199"/>
      <c r="L32" s="199"/>
      <c r="M32" s="199"/>
      <c r="N32" s="251"/>
    </row>
    <row r="33" spans="1:14" ht="31.5">
      <c r="A33" s="200">
        <v>10</v>
      </c>
      <c r="B33" s="208" t="str">
        <f>'приложение 1.1'!B33</f>
        <v>Реконструкция производственной базы г.Цивильск</v>
      </c>
      <c r="C33" s="354" t="s">
        <v>598</v>
      </c>
      <c r="D33" s="354" t="s">
        <v>598</v>
      </c>
      <c r="E33" s="352"/>
      <c r="F33" s="352"/>
      <c r="G33" s="352"/>
      <c r="H33" s="353"/>
      <c r="I33" s="354" t="s">
        <v>598</v>
      </c>
      <c r="J33" s="354" t="s">
        <v>598</v>
      </c>
      <c r="K33" s="199"/>
      <c r="L33" s="199"/>
      <c r="M33" s="199"/>
      <c r="N33" s="251"/>
    </row>
    <row r="34" spans="1:14" ht="15.75">
      <c r="A34" s="200">
        <v>11</v>
      </c>
      <c r="B34" s="208" t="str">
        <f>'приложение 1.1'!B34</f>
        <v>Модернизация ТП-31, г.Марпосад</v>
      </c>
      <c r="C34" s="354" t="s">
        <v>598</v>
      </c>
      <c r="D34" s="354" t="s">
        <v>598</v>
      </c>
      <c r="E34" s="352"/>
      <c r="F34" s="352"/>
      <c r="G34" s="352"/>
      <c r="H34" s="353"/>
      <c r="I34" s="354" t="s">
        <v>598</v>
      </c>
      <c r="J34" s="354" t="s">
        <v>598</v>
      </c>
      <c r="K34" s="199"/>
      <c r="L34" s="199"/>
      <c r="M34" s="199"/>
      <c r="N34" s="251"/>
    </row>
    <row r="35" spans="1:14" ht="15.75">
      <c r="A35" s="200">
        <v>12</v>
      </c>
      <c r="B35" s="208" t="str">
        <f>'приложение 1.1'!B35</f>
        <v>Модернизация ТП-34, г.Марпосад</v>
      </c>
      <c r="C35" s="354" t="s">
        <v>598</v>
      </c>
      <c r="D35" s="354" t="s">
        <v>598</v>
      </c>
      <c r="E35" s="352"/>
      <c r="F35" s="352"/>
      <c r="G35" s="352"/>
      <c r="H35" s="353"/>
      <c r="I35" s="354" t="s">
        <v>598</v>
      </c>
      <c r="J35" s="354" t="s">
        <v>598</v>
      </c>
      <c r="K35" s="199"/>
      <c r="L35" s="199"/>
      <c r="M35" s="199"/>
      <c r="N35" s="251"/>
    </row>
    <row r="36" spans="1:14" ht="31.5">
      <c r="A36" s="200" t="s">
        <v>614</v>
      </c>
      <c r="B36" s="598" t="s">
        <v>179</v>
      </c>
      <c r="C36" s="354"/>
      <c r="D36" s="354"/>
      <c r="E36" s="352"/>
      <c r="F36" s="352"/>
      <c r="G36" s="352"/>
      <c r="H36" s="353"/>
      <c r="I36" s="354"/>
      <c r="J36" s="354"/>
      <c r="K36" s="199"/>
      <c r="L36" s="199"/>
      <c r="M36" s="199"/>
      <c r="N36" s="251"/>
    </row>
    <row r="37" spans="1:14" ht="15.75">
      <c r="A37" s="200" t="s">
        <v>615</v>
      </c>
      <c r="B37" s="598" t="s">
        <v>550</v>
      </c>
      <c r="C37" s="354"/>
      <c r="D37" s="354"/>
      <c r="E37" s="352"/>
      <c r="F37" s="352"/>
      <c r="G37" s="352"/>
      <c r="H37" s="353"/>
      <c r="I37" s="354"/>
      <c r="J37" s="354"/>
      <c r="K37" s="199"/>
      <c r="L37" s="199"/>
      <c r="M37" s="199"/>
      <c r="N37" s="251"/>
    </row>
    <row r="38" spans="1:14" ht="31.5">
      <c r="A38" s="200" t="s">
        <v>678</v>
      </c>
      <c r="B38" s="206" t="s">
        <v>573</v>
      </c>
      <c r="C38" s="350">
        <v>0.55</v>
      </c>
      <c r="D38" s="351" t="s">
        <v>572</v>
      </c>
      <c r="E38" s="352"/>
      <c r="F38" s="352"/>
      <c r="G38" s="352"/>
      <c r="H38" s="353"/>
      <c r="I38" s="350">
        <v>0.55</v>
      </c>
      <c r="J38" s="351" t="s">
        <v>572</v>
      </c>
      <c r="K38" s="199"/>
      <c r="L38" s="199"/>
      <c r="M38" s="199"/>
      <c r="N38" s="251"/>
    </row>
    <row r="39" spans="1:14" ht="31.5">
      <c r="A39" s="200" t="s">
        <v>679</v>
      </c>
      <c r="B39" s="206" t="s">
        <v>574</v>
      </c>
      <c r="C39" s="350">
        <v>1.288</v>
      </c>
      <c r="D39" s="351" t="s">
        <v>572</v>
      </c>
      <c r="E39" s="352"/>
      <c r="F39" s="352"/>
      <c r="G39" s="352"/>
      <c r="H39" s="353"/>
      <c r="I39" s="350">
        <v>1.288</v>
      </c>
      <c r="J39" s="351" t="s">
        <v>572</v>
      </c>
      <c r="K39" s="199"/>
      <c r="L39" s="199"/>
      <c r="M39" s="199"/>
      <c r="N39" s="251"/>
    </row>
    <row r="40" spans="1:14" ht="15.75">
      <c r="A40" s="200" t="s">
        <v>616</v>
      </c>
      <c r="B40" s="598" t="s">
        <v>559</v>
      </c>
      <c r="C40" s="350"/>
      <c r="D40" s="351"/>
      <c r="E40" s="352"/>
      <c r="F40" s="352"/>
      <c r="G40" s="352"/>
      <c r="H40" s="353"/>
      <c r="I40" s="350"/>
      <c r="J40" s="351"/>
      <c r="K40" s="199"/>
      <c r="L40" s="199"/>
      <c r="M40" s="199"/>
      <c r="N40" s="251"/>
    </row>
    <row r="41" spans="1:14" ht="31.5">
      <c r="A41" s="200" t="s">
        <v>680</v>
      </c>
      <c r="B41" s="446" t="s">
        <v>560</v>
      </c>
      <c r="C41" s="350">
        <f>4.6</f>
        <v>4.6</v>
      </c>
      <c r="D41" s="351" t="s">
        <v>572</v>
      </c>
      <c r="E41" s="352"/>
      <c r="F41" s="352"/>
      <c r="G41" s="352"/>
      <c r="H41" s="353"/>
      <c r="I41" s="350" t="s">
        <v>598</v>
      </c>
      <c r="J41" s="350" t="s">
        <v>598</v>
      </c>
      <c r="K41" s="199"/>
      <c r="L41" s="199"/>
      <c r="M41" s="199"/>
      <c r="N41" s="251"/>
    </row>
    <row r="42" spans="1:14" ht="15.75">
      <c r="A42" s="200" t="s">
        <v>681</v>
      </c>
      <c r="B42" s="446" t="s">
        <v>60</v>
      </c>
      <c r="C42" s="350">
        <v>0.78</v>
      </c>
      <c r="D42" s="351" t="s">
        <v>572</v>
      </c>
      <c r="E42" s="352"/>
      <c r="F42" s="352"/>
      <c r="G42" s="352"/>
      <c r="H42" s="353"/>
      <c r="I42" s="350">
        <v>0.78</v>
      </c>
      <c r="J42" s="350" t="s">
        <v>598</v>
      </c>
      <c r="K42" s="199"/>
      <c r="L42" s="199"/>
      <c r="M42" s="199"/>
      <c r="N42" s="251"/>
    </row>
    <row r="43" spans="1:14" ht="47.25">
      <c r="A43" s="200" t="s">
        <v>682</v>
      </c>
      <c r="B43" s="446" t="s">
        <v>152</v>
      </c>
      <c r="C43" s="350">
        <f>2.95</f>
        <v>2.95</v>
      </c>
      <c r="D43" s="351" t="s">
        <v>572</v>
      </c>
      <c r="E43" s="352"/>
      <c r="F43" s="352"/>
      <c r="G43" s="352"/>
      <c r="H43" s="353"/>
      <c r="I43" s="350" t="s">
        <v>598</v>
      </c>
      <c r="J43" s="350" t="s">
        <v>598</v>
      </c>
      <c r="K43" s="199"/>
      <c r="L43" s="199"/>
      <c r="M43" s="199"/>
      <c r="N43" s="251"/>
    </row>
    <row r="44" spans="1:14" ht="15.75">
      <c r="A44" s="200" t="s">
        <v>617</v>
      </c>
      <c r="B44" s="598" t="s">
        <v>674</v>
      </c>
      <c r="C44" s="354"/>
      <c r="D44" s="351"/>
      <c r="E44" s="352"/>
      <c r="F44" s="352"/>
      <c r="G44" s="352"/>
      <c r="H44" s="353"/>
      <c r="I44" s="354"/>
      <c r="J44" s="350"/>
      <c r="K44" s="199"/>
      <c r="L44" s="199"/>
      <c r="M44" s="199"/>
      <c r="N44" s="251"/>
    </row>
    <row r="45" spans="1:14" ht="31.5">
      <c r="A45" s="200" t="s">
        <v>683</v>
      </c>
      <c r="B45" s="208" t="s">
        <v>685</v>
      </c>
      <c r="C45" s="354">
        <v>3</v>
      </c>
      <c r="D45" s="351" t="s">
        <v>531</v>
      </c>
      <c r="E45" s="352"/>
      <c r="F45" s="352"/>
      <c r="G45" s="352"/>
      <c r="H45" s="353"/>
      <c r="I45" s="354">
        <v>3</v>
      </c>
      <c r="J45" s="351" t="s">
        <v>531</v>
      </c>
      <c r="K45" s="199"/>
      <c r="L45" s="199"/>
      <c r="M45" s="199"/>
      <c r="N45" s="251"/>
    </row>
    <row r="46" spans="1:14" ht="15.75">
      <c r="A46" s="200" t="s">
        <v>618</v>
      </c>
      <c r="B46" s="598" t="s">
        <v>659</v>
      </c>
      <c r="C46" s="354"/>
      <c r="D46" s="351"/>
      <c r="E46" s="352"/>
      <c r="F46" s="352"/>
      <c r="G46" s="352"/>
      <c r="H46" s="353"/>
      <c r="I46" s="354"/>
      <c r="J46" s="351"/>
      <c r="K46" s="199"/>
      <c r="L46" s="199"/>
      <c r="M46" s="199"/>
      <c r="N46" s="251"/>
    </row>
    <row r="47" spans="1:14" ht="31.5">
      <c r="A47" s="200" t="s">
        <v>684</v>
      </c>
      <c r="B47" s="209" t="s">
        <v>56</v>
      </c>
      <c r="C47" s="350" t="s">
        <v>598</v>
      </c>
      <c r="D47" s="350" t="s">
        <v>598</v>
      </c>
      <c r="E47" s="352"/>
      <c r="F47" s="352"/>
      <c r="G47" s="352"/>
      <c r="H47" s="353"/>
      <c r="I47" s="350" t="s">
        <v>598</v>
      </c>
      <c r="J47" s="350" t="s">
        <v>598</v>
      </c>
      <c r="K47" s="199"/>
      <c r="L47" s="199"/>
      <c r="M47" s="199"/>
      <c r="N47" s="251"/>
    </row>
    <row r="48" spans="1:14" ht="15.75">
      <c r="A48" s="573"/>
      <c r="B48" s="574"/>
      <c r="C48" s="575"/>
      <c r="D48" s="575"/>
      <c r="E48" s="576"/>
      <c r="F48" s="576"/>
      <c r="G48" s="576"/>
      <c r="H48" s="576"/>
      <c r="I48" s="575"/>
      <c r="J48" s="575"/>
      <c r="K48" s="573"/>
      <c r="L48" s="573"/>
      <c r="M48" s="573"/>
      <c r="N48" s="573"/>
    </row>
    <row r="49" spans="1:14" ht="15.75">
      <c r="A49" s="573"/>
      <c r="B49" s="899"/>
      <c r="C49" s="899"/>
      <c r="D49" s="899"/>
      <c r="E49" s="899"/>
      <c r="F49" s="899"/>
      <c r="G49" s="899"/>
      <c r="H49" s="576"/>
      <c r="I49" s="575"/>
      <c r="J49" s="575"/>
      <c r="K49" s="573"/>
      <c r="L49" s="573"/>
      <c r="M49" s="573"/>
      <c r="N49" s="573"/>
    </row>
    <row r="50" spans="1:14" ht="15.75">
      <c r="A50" s="573"/>
      <c r="B50" s="568"/>
      <c r="C50" s="568"/>
      <c r="D50" s="568"/>
      <c r="E50" s="568"/>
      <c r="F50" s="586"/>
      <c r="G50" s="568"/>
      <c r="H50" s="576"/>
      <c r="I50" s="575"/>
      <c r="J50" s="575"/>
      <c r="K50" s="573"/>
      <c r="L50" s="573"/>
      <c r="M50" s="573"/>
      <c r="N50" s="573"/>
    </row>
    <row r="51" spans="1:14" ht="15.75">
      <c r="A51" s="573"/>
      <c r="B51" s="568"/>
      <c r="C51" s="568"/>
      <c r="D51" s="568"/>
      <c r="E51" s="568"/>
      <c r="F51" s="586"/>
      <c r="G51" s="568"/>
      <c r="H51" s="576"/>
      <c r="I51" s="575"/>
      <c r="J51" s="575"/>
      <c r="K51" s="573"/>
      <c r="L51" s="573"/>
      <c r="M51" s="573"/>
      <c r="N51" s="573"/>
    </row>
    <row r="52" spans="1:14" ht="15.75">
      <c r="A52" s="573"/>
      <c r="B52" s="568"/>
      <c r="C52" s="568"/>
      <c r="D52" s="568"/>
      <c r="E52" s="568"/>
      <c r="F52" s="586"/>
      <c r="G52" s="568"/>
      <c r="H52" s="576"/>
      <c r="I52" s="575"/>
      <c r="J52" s="575"/>
      <c r="K52" s="573"/>
      <c r="L52" s="573"/>
      <c r="M52" s="573"/>
      <c r="N52" s="573"/>
    </row>
    <row r="53" spans="1:14" ht="15.75">
      <c r="A53" s="573"/>
      <c r="B53" s="899"/>
      <c r="C53" s="899"/>
      <c r="D53" s="899"/>
      <c r="E53" s="899"/>
      <c r="F53" s="586"/>
      <c r="G53" s="566"/>
      <c r="H53" s="576"/>
      <c r="I53" s="575"/>
      <c r="J53" s="575"/>
      <c r="K53" s="573"/>
      <c r="L53" s="573"/>
      <c r="M53" s="573"/>
      <c r="N53" s="573"/>
    </row>
    <row r="54" spans="1:14" ht="15.75">
      <c r="A54" s="573"/>
      <c r="B54" s="572"/>
      <c r="C54" s="572"/>
      <c r="D54" s="572"/>
      <c r="E54" s="572"/>
      <c r="F54" s="572"/>
      <c r="G54" s="572"/>
      <c r="H54" s="576"/>
      <c r="I54" s="575"/>
      <c r="J54" s="575"/>
      <c r="K54" s="573"/>
      <c r="L54" s="573"/>
      <c r="M54" s="573"/>
      <c r="N54" s="573"/>
    </row>
    <row r="55" spans="1:14" ht="15.75">
      <c r="A55" s="573"/>
      <c r="B55" s="899"/>
      <c r="C55" s="899"/>
      <c r="D55" s="899"/>
      <c r="E55" s="899"/>
      <c r="F55" s="586"/>
      <c r="G55" s="566"/>
      <c r="H55" s="576"/>
      <c r="I55" s="575"/>
      <c r="J55" s="575"/>
      <c r="K55" s="573"/>
      <c r="L55" s="573"/>
      <c r="M55" s="573"/>
      <c r="N55" s="573"/>
    </row>
    <row r="57" ht="15.75">
      <c r="A57" s="18"/>
    </row>
  </sheetData>
  <sheetProtection/>
  <mergeCells count="31">
    <mergeCell ref="C20:D20"/>
    <mergeCell ref="M20:N20"/>
    <mergeCell ref="I20:J20"/>
    <mergeCell ref="E20:F20"/>
    <mergeCell ref="K20:L20"/>
    <mergeCell ref="G20:H20"/>
    <mergeCell ref="C17:H17"/>
    <mergeCell ref="B17:B19"/>
    <mergeCell ref="K19:L19"/>
    <mergeCell ref="M19:N19"/>
    <mergeCell ref="G19:H19"/>
    <mergeCell ref="I19:J19"/>
    <mergeCell ref="C19:D19"/>
    <mergeCell ref="C18:H18"/>
    <mergeCell ref="E19:F19"/>
    <mergeCell ref="E1:N1"/>
    <mergeCell ref="E2:N2"/>
    <mergeCell ref="E3:N3"/>
    <mergeCell ref="B6:C6"/>
    <mergeCell ref="A15:N15"/>
    <mergeCell ref="A14:N14"/>
    <mergeCell ref="A17:A19"/>
    <mergeCell ref="I17:N17"/>
    <mergeCell ref="B55:C55"/>
    <mergeCell ref="D55:E55"/>
    <mergeCell ref="B49:C49"/>
    <mergeCell ref="D49:E49"/>
    <mergeCell ref="F49:G49"/>
    <mergeCell ref="B53:C53"/>
    <mergeCell ref="D53:E53"/>
    <mergeCell ref="I18:N18"/>
  </mergeCells>
  <printOptions/>
  <pageMargins left="0.8267716535433072" right="0" top="0.3937007874015748" bottom="0.1968503937007874" header="0" footer="0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A65"/>
  <sheetViews>
    <sheetView zoomScale="55" zoomScaleNormal="55" zoomScalePageLayoutView="0" workbookViewId="0" topLeftCell="A1">
      <pane xSplit="3" ySplit="16" topLeftCell="J44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B44" sqref="B44"/>
    </sheetView>
  </sheetViews>
  <sheetFormatPr defaultColWidth="9.00390625" defaultRowHeight="15.75"/>
  <cols>
    <col min="1" max="1" width="9.00390625" style="128" customWidth="1"/>
    <col min="2" max="2" width="36.875" style="129" bestFit="1" customWidth="1"/>
    <col min="3" max="3" width="12.375" style="129" customWidth="1"/>
    <col min="4" max="4" width="17.50390625" style="129" customWidth="1"/>
    <col min="5" max="6" width="10.875" style="129" bestFit="1" customWidth="1"/>
    <col min="7" max="7" width="9.625" style="129" customWidth="1"/>
    <col min="8" max="8" width="8.875" style="129" bestFit="1" customWidth="1"/>
    <col min="9" max="9" width="13.875" style="129" bestFit="1" customWidth="1"/>
    <col min="10" max="10" width="13.25390625" style="129" bestFit="1" customWidth="1"/>
    <col min="11" max="11" width="16.00390625" style="129" bestFit="1" customWidth="1"/>
    <col min="12" max="12" width="11.625" style="129" bestFit="1" customWidth="1"/>
    <col min="13" max="13" width="16.875" style="129" customWidth="1"/>
    <col min="14" max="14" width="13.25390625" style="129" customWidth="1"/>
    <col min="15" max="15" width="18.375" style="129" bestFit="1" customWidth="1"/>
    <col min="16" max="16" width="15.00390625" style="129" bestFit="1" customWidth="1"/>
    <col min="17" max="17" width="14.75390625" style="129" bestFit="1" customWidth="1"/>
    <col min="18" max="18" width="14.625" style="129" bestFit="1" customWidth="1"/>
    <col min="19" max="19" width="13.75390625" style="129" bestFit="1" customWidth="1"/>
    <col min="20" max="20" width="14.25390625" style="129" bestFit="1" customWidth="1"/>
    <col min="21" max="21" width="15.125" style="130" customWidth="1"/>
    <col min="22" max="22" width="20.50390625" style="130" bestFit="1" customWidth="1"/>
    <col min="23" max="23" width="27.875" style="130" bestFit="1" customWidth="1"/>
    <col min="24" max="24" width="6.875" style="129" bestFit="1" customWidth="1"/>
    <col min="25" max="25" width="5.00390625" style="129" bestFit="1" customWidth="1"/>
    <col min="26" max="26" width="8.00390625" style="129" bestFit="1" customWidth="1"/>
    <col min="27" max="27" width="11.875" style="129" bestFit="1" customWidth="1"/>
    <col min="28" max="16384" width="9.00390625" style="128" customWidth="1"/>
  </cols>
  <sheetData>
    <row r="1" spans="15:27" ht="15.75">
      <c r="O1" s="131"/>
      <c r="P1" s="131"/>
      <c r="Q1" s="131"/>
      <c r="R1" s="131"/>
      <c r="S1" s="131"/>
      <c r="T1" s="131"/>
      <c r="X1" s="131"/>
      <c r="Y1" s="131"/>
      <c r="Z1" s="131"/>
      <c r="AA1" s="4" t="s">
        <v>521</v>
      </c>
    </row>
    <row r="2" spans="15:27" ht="15.75">
      <c r="O2" s="131"/>
      <c r="P2" s="131"/>
      <c r="Q2" s="131"/>
      <c r="R2" s="131"/>
      <c r="S2" s="131"/>
      <c r="T2" s="131"/>
      <c r="X2" s="131"/>
      <c r="Y2" s="131"/>
      <c r="Z2" s="131"/>
      <c r="AA2" s="4" t="s">
        <v>292</v>
      </c>
    </row>
    <row r="3" spans="15:27" ht="15.75">
      <c r="O3" s="131"/>
      <c r="P3" s="131"/>
      <c r="Q3" s="131"/>
      <c r="R3" s="131"/>
      <c r="S3" s="131"/>
      <c r="T3" s="131"/>
      <c r="X3" s="131"/>
      <c r="Y3" s="131"/>
      <c r="Z3" s="131"/>
      <c r="AA3" s="4" t="s">
        <v>70</v>
      </c>
    </row>
    <row r="4" spans="15:27" ht="15.75">
      <c r="O4" s="131"/>
      <c r="P4" s="131"/>
      <c r="Q4" s="131"/>
      <c r="R4" s="131"/>
      <c r="S4" s="131"/>
      <c r="T4" s="131"/>
      <c r="X4" s="131"/>
      <c r="Y4" s="131"/>
      <c r="Z4" s="131"/>
      <c r="AA4" s="4"/>
    </row>
    <row r="5" spans="1:27" ht="18.75">
      <c r="A5" s="945" t="s">
        <v>427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</row>
    <row r="6" spans="2:27" ht="16.5">
      <c r="B6" s="450" t="s">
        <v>154</v>
      </c>
      <c r="C6" s="451"/>
      <c r="O6" s="131"/>
      <c r="P6" s="131"/>
      <c r="Q6" s="131"/>
      <c r="R6" s="131"/>
      <c r="S6" s="131"/>
      <c r="T6" s="131"/>
      <c r="X6" s="450" t="s">
        <v>154</v>
      </c>
      <c r="Y6" s="451"/>
      <c r="Z6" s="258"/>
      <c r="AA6" s="4"/>
    </row>
    <row r="7" spans="2:27" ht="16.5">
      <c r="B7" s="450" t="s">
        <v>155</v>
      </c>
      <c r="C7" s="450"/>
      <c r="O7" s="131"/>
      <c r="P7" s="131"/>
      <c r="Q7" s="131"/>
      <c r="R7" s="131"/>
      <c r="S7" s="131"/>
      <c r="T7" s="131"/>
      <c r="X7" s="450" t="s">
        <v>568</v>
      </c>
      <c r="Y7" s="451"/>
      <c r="Z7" s="258"/>
      <c r="AA7" s="4"/>
    </row>
    <row r="8" spans="2:27" ht="16.5">
      <c r="B8" s="450" t="s">
        <v>156</v>
      </c>
      <c r="C8" s="451"/>
      <c r="O8" s="131"/>
      <c r="P8" s="131"/>
      <c r="Q8" s="131"/>
      <c r="R8" s="131"/>
      <c r="S8" s="131"/>
      <c r="T8" s="131"/>
      <c r="X8" s="450" t="s">
        <v>569</v>
      </c>
      <c r="Y8" s="451"/>
      <c r="Z8" s="258"/>
      <c r="AA8" s="4"/>
    </row>
    <row r="9" spans="2:27" ht="16.5">
      <c r="B9" s="450" t="s">
        <v>44</v>
      </c>
      <c r="C9" s="451"/>
      <c r="O9" s="131"/>
      <c r="P9" s="131"/>
      <c r="Q9" s="131"/>
      <c r="R9" s="131"/>
      <c r="S9" s="131"/>
      <c r="T9" s="131"/>
      <c r="X9" s="450"/>
      <c r="Y9" s="451"/>
      <c r="Z9" s="315"/>
      <c r="AA9" s="233"/>
    </row>
    <row r="10" spans="2:27" ht="24.75" customHeight="1">
      <c r="B10" s="450" t="s">
        <v>45</v>
      </c>
      <c r="C10" s="451"/>
      <c r="O10" s="131"/>
      <c r="P10" s="131"/>
      <c r="Q10" s="131"/>
      <c r="R10" s="131"/>
      <c r="S10" s="131"/>
      <c r="T10" s="131"/>
      <c r="X10" s="450" t="s">
        <v>159</v>
      </c>
      <c r="Y10" s="451"/>
      <c r="Z10" s="258"/>
      <c r="AA10" s="4"/>
    </row>
    <row r="11" spans="2:27" ht="16.5">
      <c r="B11" s="450"/>
      <c r="C11" s="451"/>
      <c r="O11" s="131"/>
      <c r="P11" s="131"/>
      <c r="Q11" s="131"/>
      <c r="R11" s="131"/>
      <c r="S11" s="131"/>
      <c r="T11" s="131"/>
      <c r="X11" s="450"/>
      <c r="Y11" s="451"/>
      <c r="Z11" s="258"/>
      <c r="AA11" s="4"/>
    </row>
    <row r="12" spans="2:27" ht="27" customHeight="1">
      <c r="B12" s="450" t="s">
        <v>46</v>
      </c>
      <c r="C12" s="451"/>
      <c r="X12" s="450" t="s">
        <v>58</v>
      </c>
      <c r="Y12" s="561"/>
      <c r="Z12" s="563"/>
      <c r="AA12" s="563"/>
    </row>
    <row r="13" spans="2:25" ht="17.25" thickBot="1">
      <c r="B13" s="450"/>
      <c r="C13" s="451"/>
      <c r="X13" s="450"/>
      <c r="Y13" s="451"/>
    </row>
    <row r="14" spans="1:27" s="129" customFormat="1" ht="84.75" customHeight="1">
      <c r="A14" s="955" t="s">
        <v>271</v>
      </c>
      <c r="B14" s="949" t="s">
        <v>282</v>
      </c>
      <c r="C14" s="949" t="s">
        <v>268</v>
      </c>
      <c r="D14" s="949" t="s">
        <v>286</v>
      </c>
      <c r="E14" s="957" t="s">
        <v>266</v>
      </c>
      <c r="F14" s="958"/>
      <c r="G14" s="959"/>
      <c r="H14" s="960" t="s">
        <v>287</v>
      </c>
      <c r="I14" s="949" t="s">
        <v>267</v>
      </c>
      <c r="J14" s="949"/>
      <c r="K14" s="949" t="s">
        <v>285</v>
      </c>
      <c r="L14" s="949"/>
      <c r="M14" s="949"/>
      <c r="N14" s="949"/>
      <c r="O14" s="949" t="s">
        <v>547</v>
      </c>
      <c r="P14" s="949" t="s">
        <v>329</v>
      </c>
      <c r="Q14" s="949" t="s">
        <v>576</v>
      </c>
      <c r="R14" s="949"/>
      <c r="S14" s="949" t="s">
        <v>600</v>
      </c>
      <c r="T14" s="949"/>
      <c r="U14" s="951" t="s">
        <v>269</v>
      </c>
      <c r="V14" s="951"/>
      <c r="W14" s="951"/>
      <c r="X14" s="949" t="s">
        <v>392</v>
      </c>
      <c r="Y14" s="949"/>
      <c r="Z14" s="949"/>
      <c r="AA14" s="950"/>
    </row>
    <row r="15" spans="1:27" s="129" customFormat="1" ht="39.75" customHeight="1">
      <c r="A15" s="956"/>
      <c r="B15" s="947"/>
      <c r="C15" s="947"/>
      <c r="D15" s="947"/>
      <c r="E15" s="947" t="s">
        <v>278</v>
      </c>
      <c r="F15" s="947" t="s">
        <v>279</v>
      </c>
      <c r="G15" s="947" t="s">
        <v>280</v>
      </c>
      <c r="H15" s="961"/>
      <c r="I15" s="947" t="s">
        <v>283</v>
      </c>
      <c r="J15" s="947" t="s">
        <v>284</v>
      </c>
      <c r="K15" s="947" t="s">
        <v>288</v>
      </c>
      <c r="L15" s="947" t="s">
        <v>272</v>
      </c>
      <c r="M15" s="947" t="s">
        <v>289</v>
      </c>
      <c r="N15" s="947" t="s">
        <v>276</v>
      </c>
      <c r="O15" s="947"/>
      <c r="P15" s="947"/>
      <c r="Q15" s="947" t="s">
        <v>330</v>
      </c>
      <c r="R15" s="947" t="s">
        <v>277</v>
      </c>
      <c r="S15" s="947" t="s">
        <v>331</v>
      </c>
      <c r="T15" s="947" t="s">
        <v>277</v>
      </c>
      <c r="U15" s="947" t="s">
        <v>308</v>
      </c>
      <c r="V15" s="947" t="s">
        <v>290</v>
      </c>
      <c r="W15" s="947" t="s">
        <v>291</v>
      </c>
      <c r="X15" s="947" t="s">
        <v>270</v>
      </c>
      <c r="Y15" s="947"/>
      <c r="Z15" s="947" t="s">
        <v>273</v>
      </c>
      <c r="AA15" s="948"/>
    </row>
    <row r="16" spans="1:27" ht="63.75" customHeight="1">
      <c r="A16" s="956"/>
      <c r="B16" s="947"/>
      <c r="C16" s="947"/>
      <c r="D16" s="947"/>
      <c r="E16" s="947"/>
      <c r="F16" s="947"/>
      <c r="G16" s="947"/>
      <c r="H16" s="962"/>
      <c r="I16" s="947"/>
      <c r="J16" s="947"/>
      <c r="K16" s="947"/>
      <c r="L16" s="947"/>
      <c r="M16" s="947"/>
      <c r="N16" s="947"/>
      <c r="O16" s="947"/>
      <c r="P16" s="947"/>
      <c r="Q16" s="947"/>
      <c r="R16" s="947"/>
      <c r="S16" s="947"/>
      <c r="T16" s="947"/>
      <c r="U16" s="947"/>
      <c r="V16" s="947"/>
      <c r="W16" s="947"/>
      <c r="X16" s="133" t="s">
        <v>303</v>
      </c>
      <c r="Y16" s="133" t="s">
        <v>281</v>
      </c>
      <c r="Z16" s="132" t="s">
        <v>274</v>
      </c>
      <c r="AA16" s="134" t="s">
        <v>275</v>
      </c>
    </row>
    <row r="17" spans="1:27" ht="39" customHeight="1">
      <c r="A17" s="390"/>
      <c r="B17" s="424" t="s">
        <v>370</v>
      </c>
      <c r="C17" s="942" t="s">
        <v>164</v>
      </c>
      <c r="D17" s="244"/>
      <c r="E17" s="244"/>
      <c r="F17" s="244"/>
      <c r="G17" s="244"/>
      <c r="H17" s="254"/>
      <c r="I17" s="244"/>
      <c r="J17" s="244"/>
      <c r="K17" s="244"/>
      <c r="L17" s="244"/>
      <c r="M17" s="244"/>
      <c r="N17" s="244"/>
      <c r="O17" s="244"/>
      <c r="P17" s="244"/>
      <c r="Q17" s="504">
        <f>Q18+Q33+Q45+Q46+Q47</f>
        <v>84.83315157999999</v>
      </c>
      <c r="R17" s="504"/>
      <c r="S17" s="504">
        <f>S18+S33+S45+S46+S47</f>
        <v>12.324664580000002</v>
      </c>
      <c r="T17" s="244" t="s">
        <v>598</v>
      </c>
      <c r="U17" s="244"/>
      <c r="V17" s="244"/>
      <c r="W17" s="244"/>
      <c r="X17" s="244"/>
      <c r="Y17" s="244"/>
      <c r="Z17" s="246"/>
      <c r="AA17" s="255"/>
    </row>
    <row r="18" spans="1:27" s="253" customFormat="1" ht="33" customHeight="1">
      <c r="A18" s="215">
        <v>1</v>
      </c>
      <c r="B18" s="272" t="s">
        <v>181</v>
      </c>
      <c r="C18" s="943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505">
        <f>Q19+Q22+Q24</f>
        <v>34.70662418</v>
      </c>
      <c r="R18" s="505"/>
      <c r="S18" s="505">
        <f>S19+S22+S24</f>
        <v>0.34228378000000004</v>
      </c>
      <c r="T18" s="256" t="s">
        <v>598</v>
      </c>
      <c r="U18" s="256"/>
      <c r="V18" s="256"/>
      <c r="W18" s="256"/>
      <c r="X18" s="252"/>
      <c r="Y18" s="252"/>
      <c r="Z18" s="252"/>
      <c r="AA18" s="257"/>
    </row>
    <row r="19" spans="1:27" ht="15.75">
      <c r="A19" s="221" t="s">
        <v>637</v>
      </c>
      <c r="B19" s="205" t="s">
        <v>550</v>
      </c>
      <c r="C19" s="943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506">
        <v>15.190871599999998</v>
      </c>
      <c r="R19" s="506">
        <f>SUM(R20:R21)</f>
        <v>0</v>
      </c>
      <c r="S19" s="506">
        <f>SUM(S20:S21)</f>
        <v>0.0053218</v>
      </c>
      <c r="T19" s="488" t="s">
        <v>598</v>
      </c>
      <c r="U19" s="488"/>
      <c r="V19" s="488"/>
      <c r="W19" s="488"/>
      <c r="X19" s="487"/>
      <c r="Y19" s="487"/>
      <c r="Z19" s="487"/>
      <c r="AA19" s="489"/>
    </row>
    <row r="20" spans="1:27" s="253" customFormat="1" ht="31.5">
      <c r="A20" s="75"/>
      <c r="B20" s="206" t="s">
        <v>553</v>
      </c>
      <c r="C20" s="943"/>
      <c r="D20" s="469"/>
      <c r="E20" s="475" t="s">
        <v>598</v>
      </c>
      <c r="F20" s="475" t="s">
        <v>598</v>
      </c>
      <c r="G20" s="76" t="s">
        <v>160</v>
      </c>
      <c r="H20" s="470"/>
      <c r="I20" s="6">
        <v>2011</v>
      </c>
      <c r="J20" s="6">
        <v>2011</v>
      </c>
      <c r="K20" s="471" t="s">
        <v>541</v>
      </c>
      <c r="L20" s="475" t="s">
        <v>598</v>
      </c>
      <c r="M20" s="475" t="s">
        <v>598</v>
      </c>
      <c r="N20" s="475" t="s">
        <v>598</v>
      </c>
      <c r="O20" s="470"/>
      <c r="P20" s="470"/>
      <c r="Q20" s="507">
        <v>2.9366659999999998</v>
      </c>
      <c r="R20" s="471" t="s">
        <v>598</v>
      </c>
      <c r="S20" s="507">
        <f>'приложение 1.1'!M23</f>
        <v>0.0053218</v>
      </c>
      <c r="T20" s="471" t="s">
        <v>598</v>
      </c>
      <c r="U20" s="473" t="s">
        <v>537</v>
      </c>
      <c r="V20" s="475" t="s">
        <v>538</v>
      </c>
      <c r="W20" s="475" t="s">
        <v>539</v>
      </c>
      <c r="X20" s="470"/>
      <c r="Y20" s="470"/>
      <c r="Z20" s="470"/>
      <c r="AA20" s="472"/>
    </row>
    <row r="21" spans="1:27" ht="31.5">
      <c r="A21" s="75"/>
      <c r="B21" s="207" t="s">
        <v>422</v>
      </c>
      <c r="C21" s="943"/>
      <c r="D21" s="473"/>
      <c r="E21" s="475" t="s">
        <v>598</v>
      </c>
      <c r="F21" s="475" t="s">
        <v>598</v>
      </c>
      <c r="G21" s="76" t="s">
        <v>161</v>
      </c>
      <c r="H21" s="6"/>
      <c r="I21" s="6">
        <v>2011</v>
      </c>
      <c r="J21" s="6">
        <v>2011</v>
      </c>
      <c r="K21" s="475" t="s">
        <v>541</v>
      </c>
      <c r="L21" s="475" t="s">
        <v>598</v>
      </c>
      <c r="M21" s="475" t="s">
        <v>598</v>
      </c>
      <c r="N21" s="475" t="s">
        <v>598</v>
      </c>
      <c r="O21" s="474"/>
      <c r="P21" s="474"/>
      <c r="Q21" s="507">
        <v>12.254205599999999</v>
      </c>
      <c r="R21" s="475" t="s">
        <v>598</v>
      </c>
      <c r="S21" s="507">
        <f>'приложение 1.1'!M24</f>
        <v>0</v>
      </c>
      <c r="T21" s="475" t="s">
        <v>598</v>
      </c>
      <c r="U21" s="473" t="s">
        <v>537</v>
      </c>
      <c r="V21" s="475" t="s">
        <v>538</v>
      </c>
      <c r="W21" s="475" t="s">
        <v>539</v>
      </c>
      <c r="X21" s="474"/>
      <c r="Y21" s="474"/>
      <c r="Z21" s="474"/>
      <c r="AA21" s="476"/>
    </row>
    <row r="22" spans="1:27" ht="33.75" customHeight="1">
      <c r="A22" s="223" t="s">
        <v>650</v>
      </c>
      <c r="B22" s="210" t="s">
        <v>559</v>
      </c>
      <c r="C22" s="943"/>
      <c r="D22" s="310"/>
      <c r="E22" s="224"/>
      <c r="F22" s="302"/>
      <c r="G22" s="302"/>
      <c r="H22" s="302"/>
      <c r="I22" s="302"/>
      <c r="J22" s="302"/>
      <c r="K22" s="488"/>
      <c r="L22" s="488" t="s">
        <v>598</v>
      </c>
      <c r="M22" s="488" t="s">
        <v>598</v>
      </c>
      <c r="N22" s="488" t="s">
        <v>598</v>
      </c>
      <c r="O22" s="490"/>
      <c r="P22" s="490"/>
      <c r="Q22" s="508">
        <f>SUM(Q23)</f>
        <v>0.00119298</v>
      </c>
      <c r="R22" s="491" t="s">
        <v>598</v>
      </c>
      <c r="S22" s="508">
        <f>S23</f>
        <v>0.00119298</v>
      </c>
      <c r="T22" s="491" t="s">
        <v>598</v>
      </c>
      <c r="U22" s="310" t="s">
        <v>537</v>
      </c>
      <c r="V22" s="488" t="s">
        <v>538</v>
      </c>
      <c r="W22" s="488" t="s">
        <v>539</v>
      </c>
      <c r="X22" s="490"/>
      <c r="Y22" s="490"/>
      <c r="Z22" s="490"/>
      <c r="AA22" s="492"/>
    </row>
    <row r="23" spans="1:27" ht="31.5">
      <c r="A23" s="75"/>
      <c r="B23" s="446" t="s">
        <v>59</v>
      </c>
      <c r="C23" s="943"/>
      <c r="D23" s="473"/>
      <c r="E23" s="76" t="s">
        <v>63</v>
      </c>
      <c r="F23" s="475" t="s">
        <v>598</v>
      </c>
      <c r="G23" s="6" t="s">
        <v>64</v>
      </c>
      <c r="H23" s="6"/>
      <c r="I23" s="6">
        <v>2011</v>
      </c>
      <c r="J23" s="6">
        <v>2011</v>
      </c>
      <c r="K23" s="475" t="s">
        <v>541</v>
      </c>
      <c r="L23" s="475" t="s">
        <v>598</v>
      </c>
      <c r="M23" s="475" t="s">
        <v>598</v>
      </c>
      <c r="N23" s="475" t="s">
        <v>598</v>
      </c>
      <c r="O23" s="477"/>
      <c r="P23" s="477"/>
      <c r="Q23" s="509">
        <f>S23</f>
        <v>0.00119298</v>
      </c>
      <c r="R23" s="479" t="s">
        <v>598</v>
      </c>
      <c r="S23" s="509">
        <f>'приложение 1.1'!M26</f>
        <v>0.00119298</v>
      </c>
      <c r="T23" s="479" t="s">
        <v>598</v>
      </c>
      <c r="U23" s="485" t="s">
        <v>542</v>
      </c>
      <c r="V23" s="475" t="s">
        <v>538</v>
      </c>
      <c r="W23" s="475" t="s">
        <v>539</v>
      </c>
      <c r="X23" s="477"/>
      <c r="Y23" s="477"/>
      <c r="Z23" s="477"/>
      <c r="AA23" s="480"/>
    </row>
    <row r="24" spans="1:27" ht="31.5">
      <c r="A24" s="223" t="s">
        <v>654</v>
      </c>
      <c r="B24" s="205" t="s">
        <v>554</v>
      </c>
      <c r="C24" s="943"/>
      <c r="D24" s="310"/>
      <c r="E24" s="231"/>
      <c r="F24" s="302"/>
      <c r="G24" s="302"/>
      <c r="H24" s="302"/>
      <c r="I24" s="302"/>
      <c r="J24" s="302"/>
      <c r="K24" s="488" t="s">
        <v>598</v>
      </c>
      <c r="L24" s="488" t="s">
        <v>598</v>
      </c>
      <c r="M24" s="488" t="s">
        <v>598</v>
      </c>
      <c r="N24" s="488" t="s">
        <v>598</v>
      </c>
      <c r="O24" s="490"/>
      <c r="P24" s="490"/>
      <c r="Q24" s="508">
        <f>SUM(Q25:Q32)</f>
        <v>19.5145596</v>
      </c>
      <c r="R24" s="508" t="s">
        <v>598</v>
      </c>
      <c r="S24" s="508">
        <f>SUM(S25:S32)</f>
        <v>0.33576900000000004</v>
      </c>
      <c r="T24" s="491" t="s">
        <v>598</v>
      </c>
      <c r="U24" s="493" t="s">
        <v>540</v>
      </c>
      <c r="V24" s="488" t="s">
        <v>538</v>
      </c>
      <c r="W24" s="488" t="s">
        <v>539</v>
      </c>
      <c r="X24" s="490"/>
      <c r="Y24" s="490"/>
      <c r="Z24" s="490"/>
      <c r="AA24" s="492"/>
    </row>
    <row r="25" spans="1:27" ht="31.5">
      <c r="A25" s="75"/>
      <c r="B25" s="447" t="s">
        <v>555</v>
      </c>
      <c r="C25" s="943"/>
      <c r="D25" s="473"/>
      <c r="E25" s="76" t="s">
        <v>532</v>
      </c>
      <c r="F25" s="475" t="s">
        <v>598</v>
      </c>
      <c r="G25" s="475" t="s">
        <v>598</v>
      </c>
      <c r="H25" s="6"/>
      <c r="I25" s="6">
        <v>2010</v>
      </c>
      <c r="J25" s="6">
        <v>2011</v>
      </c>
      <c r="K25" s="475" t="s">
        <v>541</v>
      </c>
      <c r="L25" s="475" t="s">
        <v>598</v>
      </c>
      <c r="M25" s="475" t="s">
        <v>598</v>
      </c>
      <c r="N25" s="475" t="s">
        <v>598</v>
      </c>
      <c r="O25" s="477"/>
      <c r="P25" s="477"/>
      <c r="Q25" s="509">
        <v>16.818</v>
      </c>
      <c r="R25" s="479" t="s">
        <v>598</v>
      </c>
      <c r="S25" s="509">
        <f>'приложение 1.1'!M28</f>
        <v>0</v>
      </c>
      <c r="T25" s="479" t="s">
        <v>598</v>
      </c>
      <c r="U25" s="485" t="s">
        <v>540</v>
      </c>
      <c r="V25" s="475" t="s">
        <v>538</v>
      </c>
      <c r="W25" s="475" t="s">
        <v>539</v>
      </c>
      <c r="X25" s="477"/>
      <c r="Y25" s="477"/>
      <c r="Z25" s="477"/>
      <c r="AA25" s="480"/>
    </row>
    <row r="26" spans="1:27" s="253" customFormat="1" ht="31.5">
      <c r="A26" s="75"/>
      <c r="B26" s="447" t="s">
        <v>556</v>
      </c>
      <c r="C26" s="943"/>
      <c r="D26" s="481"/>
      <c r="E26" s="76" t="s">
        <v>533</v>
      </c>
      <c r="F26" s="475" t="s">
        <v>598</v>
      </c>
      <c r="G26" s="475" t="s">
        <v>598</v>
      </c>
      <c r="H26" s="482"/>
      <c r="I26" s="6">
        <v>2011</v>
      </c>
      <c r="J26" s="6">
        <v>2011</v>
      </c>
      <c r="K26" s="481" t="s">
        <v>541</v>
      </c>
      <c r="L26" s="475" t="s">
        <v>598</v>
      </c>
      <c r="M26" s="475" t="s">
        <v>598</v>
      </c>
      <c r="N26" s="475" t="s">
        <v>598</v>
      </c>
      <c r="O26" s="482"/>
      <c r="P26" s="482"/>
      <c r="Q26" s="509">
        <v>0.3429552</v>
      </c>
      <c r="R26" s="481" t="s">
        <v>598</v>
      </c>
      <c r="S26" s="509">
        <f>'приложение 1.1'!M29</f>
        <v>0</v>
      </c>
      <c r="T26" s="481" t="s">
        <v>598</v>
      </c>
      <c r="U26" s="485" t="s">
        <v>540</v>
      </c>
      <c r="V26" s="475" t="s">
        <v>538</v>
      </c>
      <c r="W26" s="475" t="s">
        <v>539</v>
      </c>
      <c r="X26" s="482"/>
      <c r="Y26" s="482"/>
      <c r="Z26" s="482"/>
      <c r="AA26" s="484"/>
    </row>
    <row r="27" spans="1:27" ht="31.5">
      <c r="A27" s="75"/>
      <c r="B27" s="447" t="s">
        <v>552</v>
      </c>
      <c r="C27" s="943"/>
      <c r="D27" s="479"/>
      <c r="E27" s="76" t="s">
        <v>534</v>
      </c>
      <c r="F27" s="475" t="s">
        <v>598</v>
      </c>
      <c r="G27" s="475" t="s">
        <v>598</v>
      </c>
      <c r="H27" s="6"/>
      <c r="I27" s="6">
        <v>2011</v>
      </c>
      <c r="J27" s="6">
        <v>2011</v>
      </c>
      <c r="K27" s="479" t="s">
        <v>541</v>
      </c>
      <c r="L27" s="475" t="s">
        <v>598</v>
      </c>
      <c r="M27" s="475" t="s">
        <v>598</v>
      </c>
      <c r="N27" s="475" t="s">
        <v>598</v>
      </c>
      <c r="O27" s="477"/>
      <c r="P27" s="477"/>
      <c r="Q27" s="509">
        <v>0.4115368</v>
      </c>
      <c r="R27" s="479" t="s">
        <v>598</v>
      </c>
      <c r="S27" s="509">
        <f>'приложение 1.1'!M30</f>
        <v>0</v>
      </c>
      <c r="T27" s="479" t="s">
        <v>598</v>
      </c>
      <c r="U27" s="485" t="s">
        <v>540</v>
      </c>
      <c r="V27" s="475" t="s">
        <v>538</v>
      </c>
      <c r="W27" s="475" t="s">
        <v>539</v>
      </c>
      <c r="X27" s="477"/>
      <c r="Y27" s="477"/>
      <c r="Z27" s="477"/>
      <c r="AA27" s="480"/>
    </row>
    <row r="28" spans="1:27" s="253" customFormat="1" ht="31.5">
      <c r="A28" s="75"/>
      <c r="B28" s="447" t="s">
        <v>557</v>
      </c>
      <c r="C28" s="943"/>
      <c r="D28" s="481"/>
      <c r="E28" s="76" t="s">
        <v>534</v>
      </c>
      <c r="F28" s="475" t="s">
        <v>598</v>
      </c>
      <c r="G28" s="475" t="s">
        <v>598</v>
      </c>
      <c r="H28" s="482"/>
      <c r="I28" s="6">
        <v>2011</v>
      </c>
      <c r="J28" s="6">
        <v>2011</v>
      </c>
      <c r="K28" s="481" t="s">
        <v>541</v>
      </c>
      <c r="L28" s="475" t="s">
        <v>598</v>
      </c>
      <c r="M28" s="475" t="s">
        <v>598</v>
      </c>
      <c r="N28" s="475" t="s">
        <v>598</v>
      </c>
      <c r="O28" s="482"/>
      <c r="P28" s="482"/>
      <c r="Q28" s="509">
        <v>0.4115368</v>
      </c>
      <c r="R28" s="483"/>
      <c r="S28" s="509">
        <f>'приложение 1.1'!M31</f>
        <v>0</v>
      </c>
      <c r="T28" s="481" t="s">
        <v>598</v>
      </c>
      <c r="U28" s="485" t="s">
        <v>540</v>
      </c>
      <c r="V28" s="475" t="s">
        <v>538</v>
      </c>
      <c r="W28" s="475" t="s">
        <v>539</v>
      </c>
      <c r="X28" s="482"/>
      <c r="Y28" s="482"/>
      <c r="Z28" s="482"/>
      <c r="AA28" s="484"/>
    </row>
    <row r="29" spans="1:27" ht="31.5">
      <c r="A29" s="75"/>
      <c r="B29" s="447" t="s">
        <v>558</v>
      </c>
      <c r="C29" s="943"/>
      <c r="D29" s="473"/>
      <c r="E29" s="76" t="s">
        <v>535</v>
      </c>
      <c r="F29" s="475" t="s">
        <v>598</v>
      </c>
      <c r="G29" s="475" t="s">
        <v>598</v>
      </c>
      <c r="H29" s="6"/>
      <c r="I29" s="6">
        <v>2011</v>
      </c>
      <c r="J29" s="6">
        <v>2011</v>
      </c>
      <c r="K29" s="479" t="s">
        <v>541</v>
      </c>
      <c r="L29" s="475" t="s">
        <v>598</v>
      </c>
      <c r="M29" s="475" t="s">
        <v>598</v>
      </c>
      <c r="N29" s="475" t="s">
        <v>598</v>
      </c>
      <c r="O29" s="477"/>
      <c r="P29" s="477"/>
      <c r="Q29" s="509">
        <v>1.1947618</v>
      </c>
      <c r="R29" s="479" t="s">
        <v>598</v>
      </c>
      <c r="S29" s="509">
        <f>'приложение 1.1'!M32</f>
        <v>0</v>
      </c>
      <c r="T29" s="479" t="s">
        <v>598</v>
      </c>
      <c r="U29" s="485" t="s">
        <v>540</v>
      </c>
      <c r="V29" s="475" t="s">
        <v>538</v>
      </c>
      <c r="W29" s="475" t="s">
        <v>539</v>
      </c>
      <c r="X29" s="477"/>
      <c r="Y29" s="477"/>
      <c r="Z29" s="477"/>
      <c r="AA29" s="480"/>
    </row>
    <row r="30" spans="1:27" ht="31.5">
      <c r="A30" s="75"/>
      <c r="B30" s="209" t="s">
        <v>150</v>
      </c>
      <c r="C30" s="943"/>
      <c r="D30" s="473"/>
      <c r="E30" s="76"/>
      <c r="F30" s="475" t="s">
        <v>598</v>
      </c>
      <c r="G30" s="475" t="s">
        <v>598</v>
      </c>
      <c r="H30" s="6"/>
      <c r="I30" s="6">
        <v>2011</v>
      </c>
      <c r="J30" s="6">
        <v>2011</v>
      </c>
      <c r="K30" s="475" t="s">
        <v>598</v>
      </c>
      <c r="L30" s="475" t="s">
        <v>598</v>
      </c>
      <c r="M30" s="475" t="s">
        <v>598</v>
      </c>
      <c r="N30" s="475" t="s">
        <v>598</v>
      </c>
      <c r="O30" s="477"/>
      <c r="P30" s="477"/>
      <c r="Q30" s="509">
        <f>S30</f>
        <v>0.33576900000000004</v>
      </c>
      <c r="R30" s="479" t="s">
        <v>598</v>
      </c>
      <c r="S30" s="509">
        <f>'приложение 1.1'!M33</f>
        <v>0.33576900000000004</v>
      </c>
      <c r="T30" s="479" t="s">
        <v>598</v>
      </c>
      <c r="U30" s="485" t="s">
        <v>540</v>
      </c>
      <c r="V30" s="475" t="s">
        <v>538</v>
      </c>
      <c r="W30" s="475" t="s">
        <v>539</v>
      </c>
      <c r="X30" s="477"/>
      <c r="Y30" s="477"/>
      <c r="Z30" s="477"/>
      <c r="AA30" s="480"/>
    </row>
    <row r="31" spans="1:27" ht="31.5">
      <c r="A31" s="75"/>
      <c r="B31" s="209" t="s">
        <v>151</v>
      </c>
      <c r="C31" s="943"/>
      <c r="D31" s="473"/>
      <c r="E31" s="76"/>
      <c r="F31" s="475" t="s">
        <v>598</v>
      </c>
      <c r="G31" s="475" t="s">
        <v>598</v>
      </c>
      <c r="H31" s="6"/>
      <c r="I31" s="6">
        <v>2011</v>
      </c>
      <c r="J31" s="6">
        <v>2011</v>
      </c>
      <c r="K31" s="475" t="s">
        <v>541</v>
      </c>
      <c r="L31" s="475" t="s">
        <v>598</v>
      </c>
      <c r="M31" s="475" t="s">
        <v>598</v>
      </c>
      <c r="N31" s="475" t="s">
        <v>598</v>
      </c>
      <c r="O31" s="477"/>
      <c r="P31" s="477"/>
      <c r="Q31" s="509">
        <f>S31</f>
        <v>0</v>
      </c>
      <c r="R31" s="479" t="s">
        <v>598</v>
      </c>
      <c r="S31" s="509">
        <f>'приложение 1.1'!M34</f>
        <v>0</v>
      </c>
      <c r="T31" s="479" t="s">
        <v>598</v>
      </c>
      <c r="U31" s="485" t="s">
        <v>540</v>
      </c>
      <c r="V31" s="475" t="s">
        <v>538</v>
      </c>
      <c r="W31" s="475" t="s">
        <v>539</v>
      </c>
      <c r="X31" s="477"/>
      <c r="Y31" s="477"/>
      <c r="Z31" s="477"/>
      <c r="AA31" s="480"/>
    </row>
    <row r="32" spans="1:27" ht="31.5">
      <c r="A32" s="75"/>
      <c r="B32" s="209" t="s">
        <v>147</v>
      </c>
      <c r="C32" s="943"/>
      <c r="D32" s="473"/>
      <c r="E32" s="76"/>
      <c r="F32" s="475" t="s">
        <v>598</v>
      </c>
      <c r="G32" s="475" t="s">
        <v>598</v>
      </c>
      <c r="H32" s="6"/>
      <c r="I32" s="6">
        <v>2011</v>
      </c>
      <c r="J32" s="6">
        <v>2011</v>
      </c>
      <c r="K32" s="475" t="s">
        <v>541</v>
      </c>
      <c r="L32" s="475" t="s">
        <v>598</v>
      </c>
      <c r="M32" s="475" t="s">
        <v>598</v>
      </c>
      <c r="N32" s="475" t="s">
        <v>598</v>
      </c>
      <c r="O32" s="477"/>
      <c r="P32" s="477"/>
      <c r="Q32" s="509">
        <f>S32</f>
        <v>0</v>
      </c>
      <c r="R32" s="479" t="s">
        <v>598</v>
      </c>
      <c r="S32" s="509">
        <f>'приложение 1.1'!M35</f>
        <v>0</v>
      </c>
      <c r="T32" s="479" t="s">
        <v>598</v>
      </c>
      <c r="U32" s="485" t="s">
        <v>540</v>
      </c>
      <c r="V32" s="475" t="s">
        <v>538</v>
      </c>
      <c r="W32" s="475" t="s">
        <v>539</v>
      </c>
      <c r="X32" s="477"/>
      <c r="Y32" s="477"/>
      <c r="Z32" s="477"/>
      <c r="AA32" s="480"/>
    </row>
    <row r="33" spans="1:27" ht="31.5">
      <c r="A33" s="448" t="s">
        <v>614</v>
      </c>
      <c r="B33" s="216" t="s">
        <v>179</v>
      </c>
      <c r="C33" s="943"/>
      <c r="D33" s="496"/>
      <c r="E33" s="452"/>
      <c r="F33" s="496"/>
      <c r="G33" s="496"/>
      <c r="H33" s="454"/>
      <c r="I33" s="454"/>
      <c r="J33" s="454"/>
      <c r="K33" s="498"/>
      <c r="L33" s="498" t="s">
        <v>598</v>
      </c>
      <c r="M33" s="498" t="s">
        <v>598</v>
      </c>
      <c r="N33" s="498" t="s">
        <v>598</v>
      </c>
      <c r="O33" s="499"/>
      <c r="P33" s="499"/>
      <c r="Q33" s="510">
        <f>Q34+Q37+Q43+Q41</f>
        <v>50.1265274</v>
      </c>
      <c r="R33" s="510" t="s">
        <v>598</v>
      </c>
      <c r="S33" s="510">
        <f>S34+S37+S43+S41</f>
        <v>11.872440200000002</v>
      </c>
      <c r="T33" s="496" t="s">
        <v>598</v>
      </c>
      <c r="U33" s="501" t="s">
        <v>540</v>
      </c>
      <c r="V33" s="498" t="s">
        <v>538</v>
      </c>
      <c r="W33" s="498" t="s">
        <v>539</v>
      </c>
      <c r="X33" s="499"/>
      <c r="Y33" s="499"/>
      <c r="Z33" s="499"/>
      <c r="AA33" s="502"/>
    </row>
    <row r="34" spans="1:27" ht="15.75">
      <c r="A34" s="221" t="s">
        <v>615</v>
      </c>
      <c r="B34" s="205" t="s">
        <v>550</v>
      </c>
      <c r="C34" s="943"/>
      <c r="D34" s="491"/>
      <c r="E34" s="222"/>
      <c r="F34" s="491"/>
      <c r="G34" s="302"/>
      <c r="H34" s="302"/>
      <c r="I34" s="302"/>
      <c r="J34" s="302"/>
      <c r="K34" s="491"/>
      <c r="L34" s="488" t="s">
        <v>598</v>
      </c>
      <c r="M34" s="488" t="s">
        <v>598</v>
      </c>
      <c r="N34" s="488" t="s">
        <v>598</v>
      </c>
      <c r="O34" s="490"/>
      <c r="P34" s="490"/>
      <c r="Q34" s="508">
        <v>3.3318479999999995</v>
      </c>
      <c r="R34" s="491" t="s">
        <v>598</v>
      </c>
      <c r="S34" s="508">
        <f>SUM(S35:S36)</f>
        <v>0.0106436</v>
      </c>
      <c r="T34" s="491" t="s">
        <v>598</v>
      </c>
      <c r="U34" s="493"/>
      <c r="V34" s="488" t="s">
        <v>538</v>
      </c>
      <c r="W34" s="488" t="s">
        <v>539</v>
      </c>
      <c r="X34" s="490"/>
      <c r="Y34" s="490"/>
      <c r="Z34" s="490"/>
      <c r="AA34" s="492"/>
    </row>
    <row r="35" spans="1:27" ht="31.5">
      <c r="A35" s="19"/>
      <c r="B35" s="206" t="s">
        <v>551</v>
      </c>
      <c r="C35" s="943"/>
      <c r="D35" s="479"/>
      <c r="E35" s="475" t="s">
        <v>598</v>
      </c>
      <c r="F35" s="475" t="s">
        <v>598</v>
      </c>
      <c r="G35" s="6" t="s">
        <v>162</v>
      </c>
      <c r="H35" s="6"/>
      <c r="I35" s="6">
        <v>2011</v>
      </c>
      <c r="J35" s="6">
        <v>2011</v>
      </c>
      <c r="K35" s="479" t="s">
        <v>541</v>
      </c>
      <c r="L35" s="475" t="s">
        <v>598</v>
      </c>
      <c r="M35" s="475" t="s">
        <v>598</v>
      </c>
      <c r="N35" s="475" t="s">
        <v>598</v>
      </c>
      <c r="O35" s="477"/>
      <c r="P35" s="477"/>
      <c r="Q35" s="509">
        <v>0.9970173999999998</v>
      </c>
      <c r="R35" s="479" t="s">
        <v>598</v>
      </c>
      <c r="S35" s="509">
        <f>'приложение 1.1'!M38</f>
        <v>0.0053218</v>
      </c>
      <c r="T35" s="479" t="s">
        <v>598</v>
      </c>
      <c r="U35" s="473" t="s">
        <v>537</v>
      </c>
      <c r="V35" s="475" t="s">
        <v>538</v>
      </c>
      <c r="W35" s="475" t="s">
        <v>539</v>
      </c>
      <c r="X35" s="477"/>
      <c r="Y35" s="477"/>
      <c r="Z35" s="477"/>
      <c r="AA35" s="480"/>
    </row>
    <row r="36" spans="1:27" ht="31.5">
      <c r="A36" s="75"/>
      <c r="B36" s="206" t="s">
        <v>552</v>
      </c>
      <c r="C36" s="943"/>
      <c r="D36" s="473"/>
      <c r="E36" s="475" t="s">
        <v>598</v>
      </c>
      <c r="F36" s="475" t="s">
        <v>598</v>
      </c>
      <c r="G36" s="76" t="s">
        <v>163</v>
      </c>
      <c r="H36" s="6"/>
      <c r="I36" s="6">
        <v>2011</v>
      </c>
      <c r="J36" s="6">
        <v>2011</v>
      </c>
      <c r="K36" s="479" t="s">
        <v>541</v>
      </c>
      <c r="L36" s="475" t="s">
        <v>598</v>
      </c>
      <c r="M36" s="475" t="s">
        <v>598</v>
      </c>
      <c r="N36" s="475" t="s">
        <v>598</v>
      </c>
      <c r="O36" s="477"/>
      <c r="P36" s="477"/>
      <c r="Q36" s="509">
        <v>2.3348305999999996</v>
      </c>
      <c r="R36" s="479" t="s">
        <v>598</v>
      </c>
      <c r="S36" s="509">
        <f>'приложение 1.1'!M39</f>
        <v>0.0053218</v>
      </c>
      <c r="T36" s="479" t="s">
        <v>598</v>
      </c>
      <c r="U36" s="473" t="s">
        <v>537</v>
      </c>
      <c r="V36" s="475" t="s">
        <v>538</v>
      </c>
      <c r="W36" s="475" t="s">
        <v>539</v>
      </c>
      <c r="X36" s="477"/>
      <c r="Y36" s="477"/>
      <c r="Z36" s="477"/>
      <c r="AA36" s="480"/>
    </row>
    <row r="37" spans="1:27" ht="31.5">
      <c r="A37" s="223" t="s">
        <v>616</v>
      </c>
      <c r="B37" s="210" t="s">
        <v>559</v>
      </c>
      <c r="C37" s="943"/>
      <c r="D37" s="310"/>
      <c r="E37" s="224"/>
      <c r="F37" s="491"/>
      <c r="G37" s="494"/>
      <c r="H37" s="302"/>
      <c r="I37" s="302"/>
      <c r="J37" s="302"/>
      <c r="K37" s="491"/>
      <c r="L37" s="488" t="s">
        <v>598</v>
      </c>
      <c r="M37" s="488" t="s">
        <v>598</v>
      </c>
      <c r="N37" s="488" t="s">
        <v>598</v>
      </c>
      <c r="O37" s="490"/>
      <c r="P37" s="490"/>
      <c r="Q37" s="508">
        <f>SUM(Q38:Q40)</f>
        <v>17.9672794</v>
      </c>
      <c r="R37" s="491" t="s">
        <v>598</v>
      </c>
      <c r="S37" s="508">
        <f>SUM(S38:S40)</f>
        <v>0.06179659999999999</v>
      </c>
      <c r="T37" s="491" t="s">
        <v>598</v>
      </c>
      <c r="U37" s="493" t="s">
        <v>542</v>
      </c>
      <c r="V37" s="488" t="s">
        <v>538</v>
      </c>
      <c r="W37" s="488" t="s">
        <v>539</v>
      </c>
      <c r="X37" s="490"/>
      <c r="Y37" s="490"/>
      <c r="Z37" s="490"/>
      <c r="AA37" s="492"/>
    </row>
    <row r="38" spans="1:27" s="253" customFormat="1" ht="31.5">
      <c r="A38" s="75"/>
      <c r="B38" s="446" t="s">
        <v>560</v>
      </c>
      <c r="C38" s="943"/>
      <c r="D38" s="481"/>
      <c r="E38" s="76" t="s">
        <v>166</v>
      </c>
      <c r="F38" s="475" t="s">
        <v>598</v>
      </c>
      <c r="G38" s="479" t="s">
        <v>165</v>
      </c>
      <c r="H38" s="482"/>
      <c r="I38" s="6">
        <v>2011</v>
      </c>
      <c r="J38" s="6">
        <v>2011</v>
      </c>
      <c r="K38" s="481" t="s">
        <v>541</v>
      </c>
      <c r="L38" s="475" t="s">
        <v>598</v>
      </c>
      <c r="M38" s="475" t="s">
        <v>598</v>
      </c>
      <c r="N38" s="475" t="s">
        <v>598</v>
      </c>
      <c r="O38" s="482"/>
      <c r="P38" s="482"/>
      <c r="Q38" s="509">
        <v>12.6092794</v>
      </c>
      <c r="R38" s="483"/>
      <c r="S38" s="509">
        <f>'приложение 1.1'!M41</f>
        <v>0.06179659999999999</v>
      </c>
      <c r="T38" s="481" t="s">
        <v>598</v>
      </c>
      <c r="U38" s="485" t="s">
        <v>542</v>
      </c>
      <c r="V38" s="479" t="s">
        <v>538</v>
      </c>
      <c r="W38" s="475" t="s">
        <v>539</v>
      </c>
      <c r="X38" s="482"/>
      <c r="Y38" s="482"/>
      <c r="Z38" s="482"/>
      <c r="AA38" s="484"/>
    </row>
    <row r="39" spans="1:27" s="253" customFormat="1" ht="31.5">
      <c r="A39" s="75"/>
      <c r="B39" s="446" t="s">
        <v>54</v>
      </c>
      <c r="C39" s="943"/>
      <c r="D39" s="481"/>
      <c r="E39" s="76" t="s">
        <v>598</v>
      </c>
      <c r="F39" s="475" t="s">
        <v>598</v>
      </c>
      <c r="G39" s="76" t="s">
        <v>55</v>
      </c>
      <c r="H39" s="482"/>
      <c r="I39" s="6">
        <v>2011</v>
      </c>
      <c r="J39" s="6">
        <v>2011</v>
      </c>
      <c r="K39" s="481" t="s">
        <v>541</v>
      </c>
      <c r="L39" s="475" t="s">
        <v>598</v>
      </c>
      <c r="M39" s="475" t="s">
        <v>598</v>
      </c>
      <c r="N39" s="475" t="s">
        <v>598</v>
      </c>
      <c r="O39" s="482"/>
      <c r="P39" s="482"/>
      <c r="Q39" s="509">
        <f>S39</f>
        <v>0</v>
      </c>
      <c r="R39" s="483"/>
      <c r="S39" s="509">
        <f>'приложение 1.1'!M42</f>
        <v>0</v>
      </c>
      <c r="T39" s="481" t="s">
        <v>598</v>
      </c>
      <c r="U39" s="485" t="s">
        <v>542</v>
      </c>
      <c r="V39" s="479" t="s">
        <v>538</v>
      </c>
      <c r="W39" s="475" t="s">
        <v>539</v>
      </c>
      <c r="X39" s="482"/>
      <c r="Y39" s="482"/>
      <c r="Z39" s="482"/>
      <c r="AA39" s="484"/>
    </row>
    <row r="40" spans="1:27" s="253" customFormat="1" ht="47.25">
      <c r="A40" s="75"/>
      <c r="B40" s="446" t="s">
        <v>152</v>
      </c>
      <c r="C40" s="943"/>
      <c r="D40" s="486"/>
      <c r="E40" s="475" t="s">
        <v>598</v>
      </c>
      <c r="F40" s="475" t="s">
        <v>598</v>
      </c>
      <c r="G40" s="76" t="s">
        <v>441</v>
      </c>
      <c r="H40" s="6"/>
      <c r="I40" s="6">
        <v>2011</v>
      </c>
      <c r="J40" s="6">
        <v>2011</v>
      </c>
      <c r="K40" s="481" t="s">
        <v>541</v>
      </c>
      <c r="L40" s="475" t="s">
        <v>598</v>
      </c>
      <c r="M40" s="475" t="s">
        <v>598</v>
      </c>
      <c r="N40" s="475" t="s">
        <v>598</v>
      </c>
      <c r="O40" s="482"/>
      <c r="P40" s="482"/>
      <c r="Q40" s="509">
        <v>5.358</v>
      </c>
      <c r="R40" s="483"/>
      <c r="S40" s="509">
        <f>'приложение 1.1'!M43</f>
        <v>0</v>
      </c>
      <c r="T40" s="481" t="s">
        <v>598</v>
      </c>
      <c r="U40" s="485" t="s">
        <v>542</v>
      </c>
      <c r="V40" s="479" t="s">
        <v>538</v>
      </c>
      <c r="W40" s="475" t="s">
        <v>539</v>
      </c>
      <c r="X40" s="482"/>
      <c r="Y40" s="482"/>
      <c r="Z40" s="482"/>
      <c r="AA40" s="484"/>
    </row>
    <row r="41" spans="1:27" ht="15.75">
      <c r="A41" s="223" t="s">
        <v>617</v>
      </c>
      <c r="B41" s="210" t="s">
        <v>674</v>
      </c>
      <c r="C41" s="943"/>
      <c r="D41" s="493"/>
      <c r="E41" s="491"/>
      <c r="F41" s="491"/>
      <c r="G41" s="495"/>
      <c r="H41" s="302"/>
      <c r="I41" s="302"/>
      <c r="J41" s="302"/>
      <c r="K41" s="491"/>
      <c r="L41" s="491" t="s">
        <v>598</v>
      </c>
      <c r="M41" s="491" t="s">
        <v>598</v>
      </c>
      <c r="N41" s="491" t="s">
        <v>598</v>
      </c>
      <c r="O41" s="491">
        <v>0</v>
      </c>
      <c r="P41" s="491">
        <v>0</v>
      </c>
      <c r="Q41" s="508">
        <f>Q42</f>
        <v>17.027399999999997</v>
      </c>
      <c r="R41" s="508" t="str">
        <f>R42</f>
        <v>-</v>
      </c>
      <c r="S41" s="508">
        <f>S42</f>
        <v>0</v>
      </c>
      <c r="T41" s="491" t="s">
        <v>598</v>
      </c>
      <c r="U41" s="493"/>
      <c r="V41" s="488" t="s">
        <v>538</v>
      </c>
      <c r="W41" s="488" t="s">
        <v>539</v>
      </c>
      <c r="X41" s="490"/>
      <c r="Y41" s="490"/>
      <c r="Z41" s="490"/>
      <c r="AA41" s="492"/>
    </row>
    <row r="42" spans="1:27" ht="53.25" customHeight="1">
      <c r="A42" s="75"/>
      <c r="B42" s="208" t="s">
        <v>685</v>
      </c>
      <c r="C42" s="943"/>
      <c r="D42" s="473"/>
      <c r="E42" s="76" t="s">
        <v>536</v>
      </c>
      <c r="F42" s="475" t="s">
        <v>598</v>
      </c>
      <c r="G42" s="475" t="s">
        <v>598</v>
      </c>
      <c r="H42" s="6"/>
      <c r="I42" s="6">
        <v>2011</v>
      </c>
      <c r="J42" s="6">
        <v>2011</v>
      </c>
      <c r="K42" s="475" t="s">
        <v>541</v>
      </c>
      <c r="L42" s="475" t="s">
        <v>598</v>
      </c>
      <c r="M42" s="475" t="s">
        <v>598</v>
      </c>
      <c r="N42" s="475" t="s">
        <v>598</v>
      </c>
      <c r="O42" s="477"/>
      <c r="P42" s="477"/>
      <c r="Q42" s="509">
        <v>17.027399999999997</v>
      </c>
      <c r="R42" s="479" t="s">
        <v>598</v>
      </c>
      <c r="S42" s="509">
        <f>'приложение 1.1'!M45</f>
        <v>0</v>
      </c>
      <c r="T42" s="479" t="s">
        <v>598</v>
      </c>
      <c r="U42" s="485" t="s">
        <v>540</v>
      </c>
      <c r="V42" s="475" t="s">
        <v>538</v>
      </c>
      <c r="W42" s="475" t="s">
        <v>539</v>
      </c>
      <c r="X42" s="477"/>
      <c r="Y42" s="477"/>
      <c r="Z42" s="477"/>
      <c r="AA42" s="480"/>
    </row>
    <row r="43" spans="1:27" ht="15.75">
      <c r="A43" s="223" t="s">
        <v>618</v>
      </c>
      <c r="B43" s="210" t="s">
        <v>659</v>
      </c>
      <c r="C43" s="943"/>
      <c r="D43" s="493"/>
      <c r="E43" s="491"/>
      <c r="F43" s="491"/>
      <c r="G43" s="495"/>
      <c r="H43" s="302"/>
      <c r="I43" s="302"/>
      <c r="J43" s="302"/>
      <c r="K43" s="491"/>
      <c r="L43" s="491" t="s">
        <v>598</v>
      </c>
      <c r="M43" s="491" t="s">
        <v>598</v>
      </c>
      <c r="N43" s="491" t="s">
        <v>598</v>
      </c>
      <c r="O43" s="491">
        <v>0</v>
      </c>
      <c r="P43" s="491">
        <v>0</v>
      </c>
      <c r="Q43" s="508">
        <f>Q44</f>
        <v>11.8</v>
      </c>
      <c r="R43" s="508" t="str">
        <f>R44</f>
        <v>-</v>
      </c>
      <c r="S43" s="508">
        <f>S44</f>
        <v>11.8</v>
      </c>
      <c r="T43" s="491" t="s">
        <v>598</v>
      </c>
      <c r="U43" s="493"/>
      <c r="V43" s="488" t="s">
        <v>538</v>
      </c>
      <c r="W43" s="488" t="s">
        <v>539</v>
      </c>
      <c r="X43" s="490"/>
      <c r="Y43" s="490"/>
      <c r="Z43" s="490"/>
      <c r="AA43" s="492"/>
    </row>
    <row r="44" spans="1:27" ht="47.25">
      <c r="A44" s="137"/>
      <c r="B44" s="209" t="s">
        <v>56</v>
      </c>
      <c r="C44" s="943"/>
      <c r="D44" s="485"/>
      <c r="E44" s="475" t="s">
        <v>598</v>
      </c>
      <c r="F44" s="475" t="s">
        <v>598</v>
      </c>
      <c r="G44" s="475" t="s">
        <v>598</v>
      </c>
      <c r="H44" s="6"/>
      <c r="I44" s="6">
        <v>2011</v>
      </c>
      <c r="J44" s="6">
        <v>2011</v>
      </c>
      <c r="K44" s="479" t="s">
        <v>598</v>
      </c>
      <c r="L44" s="479" t="s">
        <v>598</v>
      </c>
      <c r="M44" s="479" t="s">
        <v>598</v>
      </c>
      <c r="N44" s="479" t="s">
        <v>598</v>
      </c>
      <c r="O44" s="479">
        <v>0</v>
      </c>
      <c r="P44" s="479">
        <v>0</v>
      </c>
      <c r="Q44" s="509">
        <f>10000*1.18/1000</f>
        <v>11.8</v>
      </c>
      <c r="R44" s="479" t="s">
        <v>598</v>
      </c>
      <c r="S44" s="509">
        <f>'свод '!D37/1000</f>
        <v>11.8</v>
      </c>
      <c r="T44" s="479" t="s">
        <v>598</v>
      </c>
      <c r="U44" s="485" t="s">
        <v>442</v>
      </c>
      <c r="V44" s="475" t="s">
        <v>538</v>
      </c>
      <c r="W44" s="475" t="s">
        <v>539</v>
      </c>
      <c r="X44" s="477"/>
      <c r="Y44" s="477"/>
      <c r="Z44" s="477"/>
      <c r="AA44" s="480"/>
    </row>
    <row r="45" spans="1:27" ht="31.5">
      <c r="A45" s="216" t="s">
        <v>80</v>
      </c>
      <c r="B45" s="218" t="s">
        <v>564</v>
      </c>
      <c r="C45" s="943"/>
      <c r="D45" s="501"/>
      <c r="E45" s="496"/>
      <c r="F45" s="496"/>
      <c r="G45" s="503"/>
      <c r="H45" s="454"/>
      <c r="I45" s="497"/>
      <c r="J45" s="497"/>
      <c r="K45" s="496" t="s">
        <v>598</v>
      </c>
      <c r="L45" s="496" t="s">
        <v>598</v>
      </c>
      <c r="M45" s="496" t="s">
        <v>598</v>
      </c>
      <c r="N45" s="496" t="s">
        <v>598</v>
      </c>
      <c r="O45" s="496">
        <v>0</v>
      </c>
      <c r="P45" s="496">
        <v>0</v>
      </c>
      <c r="Q45" s="500"/>
      <c r="R45" s="496" t="s">
        <v>598</v>
      </c>
      <c r="S45" s="510">
        <f>'приложение 1.1'!M54</f>
        <v>0</v>
      </c>
      <c r="T45" s="496" t="s">
        <v>598</v>
      </c>
      <c r="U45" s="501" t="s">
        <v>540</v>
      </c>
      <c r="V45" s="498" t="s">
        <v>538</v>
      </c>
      <c r="W45" s="498" t="s">
        <v>539</v>
      </c>
      <c r="X45" s="499"/>
      <c r="Y45" s="499"/>
      <c r="Z45" s="499"/>
      <c r="AA45" s="502"/>
    </row>
    <row r="46" spans="1:27" ht="31.5">
      <c r="A46" s="449" t="s">
        <v>82</v>
      </c>
      <c r="B46" s="218" t="s">
        <v>153</v>
      </c>
      <c r="C46" s="943"/>
      <c r="D46" s="501"/>
      <c r="E46" s="496"/>
      <c r="F46" s="496"/>
      <c r="G46" s="496"/>
      <c r="H46" s="454"/>
      <c r="I46" s="497"/>
      <c r="J46" s="497"/>
      <c r="K46" s="496" t="s">
        <v>598</v>
      </c>
      <c r="L46" s="496" t="s">
        <v>598</v>
      </c>
      <c r="M46" s="496" t="s">
        <v>598</v>
      </c>
      <c r="N46" s="496" t="s">
        <v>598</v>
      </c>
      <c r="O46" s="496">
        <v>0</v>
      </c>
      <c r="P46" s="496">
        <v>0</v>
      </c>
      <c r="Q46" s="500"/>
      <c r="R46" s="496" t="s">
        <v>598</v>
      </c>
      <c r="S46" s="510">
        <f>'приложение 1.1'!M55</f>
        <v>0</v>
      </c>
      <c r="T46" s="496" t="s">
        <v>598</v>
      </c>
      <c r="U46" s="501" t="s">
        <v>540</v>
      </c>
      <c r="V46" s="498" t="s">
        <v>538</v>
      </c>
      <c r="W46" s="498" t="s">
        <v>539</v>
      </c>
      <c r="X46" s="499"/>
      <c r="Y46" s="499"/>
      <c r="Z46" s="499"/>
      <c r="AA46" s="502"/>
    </row>
    <row r="47" spans="1:27" ht="36" customHeight="1">
      <c r="A47" s="219" t="s">
        <v>92</v>
      </c>
      <c r="B47" s="220" t="s">
        <v>565</v>
      </c>
      <c r="C47" s="943"/>
      <c r="D47" s="501"/>
      <c r="E47" s="496"/>
      <c r="F47" s="496"/>
      <c r="G47" s="496"/>
      <c r="H47" s="454"/>
      <c r="I47" s="497"/>
      <c r="J47" s="497"/>
      <c r="K47" s="496" t="s">
        <v>598</v>
      </c>
      <c r="L47" s="496" t="s">
        <v>598</v>
      </c>
      <c r="M47" s="496" t="s">
        <v>598</v>
      </c>
      <c r="N47" s="496" t="s">
        <v>598</v>
      </c>
      <c r="O47" s="496"/>
      <c r="P47" s="496"/>
      <c r="Q47" s="500"/>
      <c r="R47" s="496"/>
      <c r="S47" s="510">
        <f>SUM(S48:S50)</f>
        <v>0.1099406</v>
      </c>
      <c r="T47" s="496"/>
      <c r="U47" s="501" t="s">
        <v>540</v>
      </c>
      <c r="V47" s="498" t="s">
        <v>538</v>
      </c>
      <c r="W47" s="498" t="s">
        <v>539</v>
      </c>
      <c r="X47" s="499"/>
      <c r="Y47" s="499"/>
      <c r="Z47" s="499"/>
      <c r="AA47" s="502"/>
    </row>
    <row r="48" spans="1:27" s="253" customFormat="1" ht="15.75">
      <c r="A48" s="75"/>
      <c r="B48" s="213" t="s">
        <v>561</v>
      </c>
      <c r="C48" s="943"/>
      <c r="D48" s="486"/>
      <c r="E48" s="6"/>
      <c r="F48" s="6"/>
      <c r="G48" s="6"/>
      <c r="H48" s="6"/>
      <c r="I48" s="470"/>
      <c r="J48" s="470"/>
      <c r="K48" s="479" t="s">
        <v>598</v>
      </c>
      <c r="L48" s="479" t="s">
        <v>598</v>
      </c>
      <c r="M48" s="479" t="s">
        <v>598</v>
      </c>
      <c r="N48" s="479" t="s">
        <v>598</v>
      </c>
      <c r="O48" s="479">
        <v>0</v>
      </c>
      <c r="P48" s="479">
        <v>0</v>
      </c>
      <c r="Q48" s="478"/>
      <c r="R48" s="479" t="s">
        <v>598</v>
      </c>
      <c r="S48" s="509">
        <f>'приложение 1.1'!M57</f>
        <v>0.1099406</v>
      </c>
      <c r="T48" s="481" t="s">
        <v>598</v>
      </c>
      <c r="U48" s="952" t="s">
        <v>416</v>
      </c>
      <c r="V48" s="475"/>
      <c r="W48" s="475" t="s">
        <v>539</v>
      </c>
      <c r="X48" s="482"/>
      <c r="Y48" s="482"/>
      <c r="Z48" s="482"/>
      <c r="AA48" s="484"/>
    </row>
    <row r="49" spans="1:27" ht="15.75">
      <c r="A49" s="75"/>
      <c r="B49" s="213" t="s">
        <v>562</v>
      </c>
      <c r="C49" s="943"/>
      <c r="D49" s="485"/>
      <c r="E49" s="479"/>
      <c r="F49" s="479"/>
      <c r="G49" s="479"/>
      <c r="H49" s="6"/>
      <c r="I49" s="474"/>
      <c r="J49" s="474"/>
      <c r="K49" s="479" t="s">
        <v>598</v>
      </c>
      <c r="L49" s="479" t="s">
        <v>598</v>
      </c>
      <c r="M49" s="479" t="s">
        <v>598</v>
      </c>
      <c r="N49" s="479" t="s">
        <v>598</v>
      </c>
      <c r="O49" s="479">
        <v>0</v>
      </c>
      <c r="P49" s="479">
        <v>0</v>
      </c>
      <c r="Q49" s="478"/>
      <c r="R49" s="479" t="s">
        <v>598</v>
      </c>
      <c r="S49" s="509">
        <f>'приложение 1.1'!M58</f>
        <v>0</v>
      </c>
      <c r="T49" s="479" t="s">
        <v>598</v>
      </c>
      <c r="U49" s="953"/>
      <c r="V49" s="475"/>
      <c r="W49" s="475" t="s">
        <v>539</v>
      </c>
      <c r="X49" s="477"/>
      <c r="Y49" s="477"/>
      <c r="Z49" s="477"/>
      <c r="AA49" s="480"/>
    </row>
    <row r="50" spans="1:27" ht="15.75">
      <c r="A50" s="6"/>
      <c r="B50" s="213" t="s">
        <v>563</v>
      </c>
      <c r="C50" s="944"/>
      <c r="D50" s="473"/>
      <c r="E50" s="475"/>
      <c r="F50" s="475"/>
      <c r="G50" s="475"/>
      <c r="H50" s="6"/>
      <c r="I50" s="474"/>
      <c r="J50" s="474"/>
      <c r="K50" s="475" t="s">
        <v>598</v>
      </c>
      <c r="L50" s="475" t="s">
        <v>598</v>
      </c>
      <c r="M50" s="475" t="s">
        <v>598</v>
      </c>
      <c r="N50" s="475" t="s">
        <v>598</v>
      </c>
      <c r="O50" s="475">
        <v>0</v>
      </c>
      <c r="P50" s="475">
        <v>0</v>
      </c>
      <c r="Q50" s="577"/>
      <c r="R50" s="475" t="s">
        <v>598</v>
      </c>
      <c r="S50" s="507">
        <f>'приложение 1.1'!M59</f>
        <v>0</v>
      </c>
      <c r="T50" s="475" t="s">
        <v>598</v>
      </c>
      <c r="U50" s="954"/>
      <c r="V50" s="475"/>
      <c r="W50" s="475" t="s">
        <v>539</v>
      </c>
      <c r="X50" s="474"/>
      <c r="Y50" s="474"/>
      <c r="Z50" s="474"/>
      <c r="AA50" s="476"/>
    </row>
    <row r="53" spans="2:27" ht="76.5" customHeight="1">
      <c r="B53" s="946" t="s">
        <v>310</v>
      </c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6"/>
      <c r="X53" s="946"/>
      <c r="Y53" s="946"/>
      <c r="Z53" s="946"/>
      <c r="AA53" s="946"/>
    </row>
    <row r="54" ht="15">
      <c r="B54" s="129" t="s">
        <v>377</v>
      </c>
    </row>
    <row r="55" ht="15">
      <c r="B55" s="129" t="s">
        <v>378</v>
      </c>
    </row>
    <row r="56" ht="15">
      <c r="B56" s="129" t="s">
        <v>545</v>
      </c>
    </row>
    <row r="58" spans="1:7" ht="15">
      <c r="A58" s="587"/>
      <c r="B58" s="899"/>
      <c r="C58" s="899"/>
      <c r="D58" s="899"/>
      <c r="E58" s="899"/>
      <c r="F58" s="899"/>
      <c r="G58" s="899"/>
    </row>
    <row r="59" spans="1:7" ht="15">
      <c r="A59" s="587"/>
      <c r="B59" s="568"/>
      <c r="C59" s="568"/>
      <c r="D59" s="568"/>
      <c r="E59" s="568"/>
      <c r="F59" s="586"/>
      <c r="G59" s="568"/>
    </row>
    <row r="60" spans="1:7" ht="15">
      <c r="A60" s="587"/>
      <c r="B60" s="568"/>
      <c r="C60" s="568"/>
      <c r="D60" s="568"/>
      <c r="E60" s="568"/>
      <c r="F60" s="586"/>
      <c r="G60" s="568"/>
    </row>
    <row r="61" spans="1:7" ht="15">
      <c r="A61" s="587"/>
      <c r="B61" s="568"/>
      <c r="C61" s="568"/>
      <c r="D61" s="568"/>
      <c r="E61" s="568"/>
      <c r="F61" s="586"/>
      <c r="G61" s="568"/>
    </row>
    <row r="62" spans="1:7" ht="15">
      <c r="A62" s="587"/>
      <c r="B62" s="899"/>
      <c r="C62" s="899"/>
      <c r="D62" s="899"/>
      <c r="E62" s="899"/>
      <c r="F62" s="586"/>
      <c r="G62" s="566"/>
    </row>
    <row r="63" spans="1:7" ht="15">
      <c r="A63" s="587"/>
      <c r="B63" s="572"/>
      <c r="C63" s="572"/>
      <c r="D63" s="572"/>
      <c r="E63" s="572"/>
      <c r="F63" s="572"/>
      <c r="G63" s="572"/>
    </row>
    <row r="64" spans="1:7" ht="15">
      <c r="A64" s="587"/>
      <c r="B64" s="899"/>
      <c r="C64" s="899"/>
      <c r="D64" s="899"/>
      <c r="E64" s="899"/>
      <c r="F64" s="586"/>
      <c r="G64" s="566"/>
    </row>
    <row r="65" spans="1:7" ht="15">
      <c r="A65" s="587"/>
      <c r="B65" s="588"/>
      <c r="C65" s="588"/>
      <c r="D65" s="588"/>
      <c r="E65" s="588"/>
      <c r="F65" s="588"/>
      <c r="G65" s="588"/>
    </row>
  </sheetData>
  <sheetProtection/>
  <protectedRanges>
    <protectedRange sqref="B30:B32" name="Диапазон1_91_2_2_2_3_1_1"/>
  </protectedRanges>
  <mergeCells count="43">
    <mergeCell ref="B14:B16"/>
    <mergeCell ref="C14:C16"/>
    <mergeCell ref="D14:D16"/>
    <mergeCell ref="J15:J16"/>
    <mergeCell ref="I15:I16"/>
    <mergeCell ref="E14:G14"/>
    <mergeCell ref="H14:H16"/>
    <mergeCell ref="E15:E16"/>
    <mergeCell ref="F15:F16"/>
    <mergeCell ref="S14:T14"/>
    <mergeCell ref="T15:T16"/>
    <mergeCell ref="S15:S16"/>
    <mergeCell ref="K15:K16"/>
    <mergeCell ref="L15:L16"/>
    <mergeCell ref="R15:R16"/>
    <mergeCell ref="Q15:Q16"/>
    <mergeCell ref="U15:U16"/>
    <mergeCell ref="W15:W16"/>
    <mergeCell ref="V15:V16"/>
    <mergeCell ref="A14:A16"/>
    <mergeCell ref="O14:O16"/>
    <mergeCell ref="P14:P16"/>
    <mergeCell ref="M15:M16"/>
    <mergeCell ref="N15:N16"/>
    <mergeCell ref="G15:G16"/>
    <mergeCell ref="I14:J14"/>
    <mergeCell ref="C17:C50"/>
    <mergeCell ref="A5:AA5"/>
    <mergeCell ref="B53:AA53"/>
    <mergeCell ref="Z15:AA15"/>
    <mergeCell ref="X14:AA14"/>
    <mergeCell ref="X15:Y15"/>
    <mergeCell ref="K14:N14"/>
    <mergeCell ref="U14:W14"/>
    <mergeCell ref="Q14:R14"/>
    <mergeCell ref="U48:U50"/>
    <mergeCell ref="B64:C64"/>
    <mergeCell ref="D64:E64"/>
    <mergeCell ref="B58:C58"/>
    <mergeCell ref="D58:E58"/>
    <mergeCell ref="F58:G58"/>
    <mergeCell ref="B62:C62"/>
    <mergeCell ref="D62:E62"/>
  </mergeCells>
  <printOptions/>
  <pageMargins left="0.1968503937007874" right="0.1968503937007874" top="0.35433070866141736" bottom="0" header="0" footer="0"/>
  <pageSetup fitToHeight="3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J56"/>
  <sheetViews>
    <sheetView zoomScalePageLayoutView="0" workbookViewId="0" topLeftCell="A30">
      <selection activeCell="B25" sqref="B25:D46"/>
    </sheetView>
  </sheetViews>
  <sheetFormatPr defaultColWidth="9.00390625" defaultRowHeight="15.75"/>
  <cols>
    <col min="1" max="1" width="9.00390625" style="18" customWidth="1"/>
    <col min="2" max="2" width="37.375" style="18" customWidth="1"/>
    <col min="3" max="3" width="14.00390625" style="18" customWidth="1"/>
    <col min="4" max="4" width="14.25390625" style="18" customWidth="1"/>
    <col min="5" max="5" width="16.00390625" style="18" customWidth="1"/>
    <col min="6" max="6" width="45.00390625" style="18" customWidth="1"/>
    <col min="7" max="10" width="9.00390625" style="18" customWidth="1"/>
    <col min="11" max="11" width="13.00390625" style="18" customWidth="1"/>
    <col min="12" max="16384" width="9.00390625" style="18" customWidth="1"/>
  </cols>
  <sheetData>
    <row r="2" ht="15.75">
      <c r="F2" s="4" t="s">
        <v>496</v>
      </c>
    </row>
    <row r="3" ht="15.75">
      <c r="F3" s="4" t="s">
        <v>292</v>
      </c>
    </row>
    <row r="4" ht="15.75">
      <c r="F4" s="4" t="s">
        <v>70</v>
      </c>
    </row>
    <row r="5" ht="15.75">
      <c r="F5" s="4"/>
    </row>
    <row r="6" spans="1:10" ht="48" customHeight="1">
      <c r="A6" s="963" t="s">
        <v>428</v>
      </c>
      <c r="B6" s="963"/>
      <c r="C6" s="963"/>
      <c r="D6" s="963"/>
      <c r="E6" s="963"/>
      <c r="F6" s="963"/>
      <c r="G6" s="100"/>
      <c r="H6" s="100"/>
      <c r="I6" s="100"/>
      <c r="J6" s="100"/>
    </row>
    <row r="7" spans="1:10" ht="15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2:6" ht="15.75">
      <c r="B8" s="511" t="s">
        <v>154</v>
      </c>
      <c r="C8" s="512"/>
      <c r="F8" s="258" t="s">
        <v>154</v>
      </c>
    </row>
    <row r="9" spans="2:6" ht="15.75">
      <c r="B9" s="929" t="s">
        <v>155</v>
      </c>
      <c r="C9" s="929"/>
      <c r="F9" s="258" t="s">
        <v>568</v>
      </c>
    </row>
    <row r="10" spans="2:6" ht="15.75">
      <c r="B10" s="511" t="s">
        <v>156</v>
      </c>
      <c r="C10" s="512"/>
      <c r="F10" s="258" t="s">
        <v>569</v>
      </c>
    </row>
    <row r="11" spans="2:3" ht="15.75">
      <c r="B11" s="511" t="s">
        <v>44</v>
      </c>
      <c r="C11" s="512"/>
    </row>
    <row r="12" spans="2:6" ht="15.75">
      <c r="B12" s="511" t="s">
        <v>45</v>
      </c>
      <c r="C12" s="512"/>
      <c r="F12" s="316" t="s">
        <v>167</v>
      </c>
    </row>
    <row r="13" spans="2:6" ht="20.25" customHeight="1">
      <c r="B13" s="511" t="s">
        <v>46</v>
      </c>
      <c r="C13" s="512"/>
      <c r="F13" s="4" t="s">
        <v>69</v>
      </c>
    </row>
    <row r="14" spans="1:10" ht="16.5" thickBot="1">
      <c r="A14" s="123"/>
      <c r="B14" s="511"/>
      <c r="C14" s="512"/>
      <c r="D14" s="124"/>
      <c r="E14" s="124"/>
      <c r="F14" s="124"/>
      <c r="G14" s="124"/>
      <c r="H14" s="124"/>
      <c r="J14" s="101"/>
    </row>
    <row r="15" spans="1:6" ht="28.5" customHeight="1">
      <c r="A15" s="966" t="s">
        <v>610</v>
      </c>
      <c r="B15" s="969" t="s">
        <v>263</v>
      </c>
      <c r="C15" s="964" t="s">
        <v>264</v>
      </c>
      <c r="D15" s="964"/>
      <c r="E15" s="972" t="s">
        <v>192</v>
      </c>
      <c r="F15" s="969" t="s">
        <v>193</v>
      </c>
    </row>
    <row r="16" spans="1:6" ht="28.5" customHeight="1">
      <c r="A16" s="967"/>
      <c r="B16" s="970"/>
      <c r="C16" s="965"/>
      <c r="D16" s="965"/>
      <c r="E16" s="973"/>
      <c r="F16" s="970"/>
    </row>
    <row r="17" spans="1:6" ht="31.5">
      <c r="A17" s="968"/>
      <c r="B17" s="971"/>
      <c r="C17" s="334" t="s">
        <v>194</v>
      </c>
      <c r="D17" s="334" t="s">
        <v>195</v>
      </c>
      <c r="E17" s="974"/>
      <c r="F17" s="971"/>
    </row>
    <row r="18" spans="1:6" ht="15.75">
      <c r="A18" s="221">
        <v>1</v>
      </c>
      <c r="B18" s="222">
        <v>2</v>
      </c>
      <c r="C18" s="334">
        <v>3</v>
      </c>
      <c r="D18" s="334">
        <v>4</v>
      </c>
      <c r="E18" s="335">
        <v>5</v>
      </c>
      <c r="F18" s="222">
        <v>6</v>
      </c>
    </row>
    <row r="19" spans="1:6" ht="15.75">
      <c r="A19" s="336">
        <v>1</v>
      </c>
      <c r="B19" s="205" t="s">
        <v>550</v>
      </c>
      <c r="C19" s="336"/>
      <c r="D19" s="336"/>
      <c r="E19" s="336"/>
      <c r="F19" s="337"/>
    </row>
    <row r="20" spans="1:6" ht="31.5">
      <c r="A20" s="102" t="s">
        <v>612</v>
      </c>
      <c r="B20" s="206" t="s">
        <v>395</v>
      </c>
      <c r="C20" s="329" t="s">
        <v>399</v>
      </c>
      <c r="D20" s="329" t="s">
        <v>400</v>
      </c>
      <c r="E20" s="102"/>
      <c r="F20" s="10"/>
    </row>
    <row r="21" spans="1:6" s="35" customFormat="1" ht="15.75">
      <c r="A21" s="102" t="s">
        <v>613</v>
      </c>
      <c r="B21" s="206" t="s">
        <v>396</v>
      </c>
      <c r="C21" s="329" t="s">
        <v>400</v>
      </c>
      <c r="D21" s="329" t="s">
        <v>411</v>
      </c>
      <c r="E21" s="102"/>
      <c r="F21" s="10"/>
    </row>
    <row r="22" spans="1:6" s="35" customFormat="1" ht="31.5">
      <c r="A22" s="102" t="s">
        <v>623</v>
      </c>
      <c r="B22" s="206" t="s">
        <v>397</v>
      </c>
      <c r="C22" s="329" t="s">
        <v>401</v>
      </c>
      <c r="D22" s="329" t="s">
        <v>404</v>
      </c>
      <c r="E22" s="102"/>
      <c r="F22" s="10"/>
    </row>
    <row r="23" spans="1:6" s="35" customFormat="1" ht="47.25">
      <c r="A23" s="102" t="s">
        <v>640</v>
      </c>
      <c r="B23" s="206" t="s">
        <v>398</v>
      </c>
      <c r="C23" s="329" t="s">
        <v>403</v>
      </c>
      <c r="D23" s="329" t="s">
        <v>403</v>
      </c>
      <c r="E23" s="329"/>
      <c r="F23" s="329"/>
    </row>
    <row r="24" spans="1:6" ht="31.5">
      <c r="A24" s="102" t="s">
        <v>210</v>
      </c>
      <c r="B24" s="206" t="s">
        <v>231</v>
      </c>
      <c r="C24" s="339" t="s">
        <v>404</v>
      </c>
      <c r="D24" s="339" t="s">
        <v>405</v>
      </c>
      <c r="E24" s="330"/>
      <c r="F24" s="10"/>
    </row>
    <row r="25" spans="1:6" ht="15.75">
      <c r="A25" s="318">
        <v>2</v>
      </c>
      <c r="B25" s="318" t="s">
        <v>554</v>
      </c>
      <c r="C25" s="205"/>
      <c r="D25" s="205"/>
      <c r="E25" s="318"/>
      <c r="F25" s="318"/>
    </row>
    <row r="26" spans="1:6" ht="15.75">
      <c r="A26" s="10"/>
      <c r="B26" s="208" t="s">
        <v>396</v>
      </c>
      <c r="C26" s="340" t="s">
        <v>399</v>
      </c>
      <c r="D26" s="340" t="s">
        <v>401</v>
      </c>
      <c r="E26" s="10"/>
      <c r="F26" s="10"/>
    </row>
    <row r="27" spans="1:6" ht="15.75">
      <c r="A27" s="10"/>
      <c r="B27" s="208" t="s">
        <v>406</v>
      </c>
      <c r="C27" s="340" t="s">
        <v>399</v>
      </c>
      <c r="D27" s="340" t="s">
        <v>401</v>
      </c>
      <c r="E27" s="10"/>
      <c r="F27" s="10"/>
    </row>
    <row r="28" spans="1:6" ht="15.75">
      <c r="A28" s="10"/>
      <c r="B28" s="105" t="s">
        <v>220</v>
      </c>
      <c r="C28" s="340" t="s">
        <v>400</v>
      </c>
      <c r="D28" s="340" t="s">
        <v>407</v>
      </c>
      <c r="E28" s="10"/>
      <c r="F28" s="10"/>
    </row>
    <row r="29" spans="1:6" ht="63">
      <c r="A29" s="10"/>
      <c r="B29" s="105" t="s">
        <v>222</v>
      </c>
      <c r="C29" s="339" t="s">
        <v>408</v>
      </c>
      <c r="D29" s="339" t="s">
        <v>408</v>
      </c>
      <c r="E29" s="10"/>
      <c r="F29" s="10"/>
    </row>
    <row r="30" spans="1:6" ht="31.5">
      <c r="A30" s="10"/>
      <c r="B30" s="206" t="s">
        <v>231</v>
      </c>
      <c r="C30" s="339" t="s">
        <v>404</v>
      </c>
      <c r="D30" s="339" t="s">
        <v>405</v>
      </c>
      <c r="E30" s="10"/>
      <c r="F30" s="10"/>
    </row>
    <row r="31" spans="1:6" ht="31.5">
      <c r="A31" s="318">
        <v>3</v>
      </c>
      <c r="B31" s="210" t="s">
        <v>429</v>
      </c>
      <c r="C31" s="341"/>
      <c r="D31" s="341"/>
      <c r="E31" s="337"/>
      <c r="F31" s="337"/>
    </row>
    <row r="32" spans="1:6" ht="31.5">
      <c r="A32" s="10"/>
      <c r="B32" s="206" t="s">
        <v>395</v>
      </c>
      <c r="C32" s="329" t="s">
        <v>399</v>
      </c>
      <c r="D32" s="329" t="s">
        <v>400</v>
      </c>
      <c r="E32" s="10"/>
      <c r="F32" s="10"/>
    </row>
    <row r="33" spans="1:6" ht="15.75">
      <c r="A33" s="10"/>
      <c r="B33" s="206" t="s">
        <v>396</v>
      </c>
      <c r="C33" s="329" t="s">
        <v>400</v>
      </c>
      <c r="D33" s="329" t="s">
        <v>401</v>
      </c>
      <c r="E33" s="10"/>
      <c r="F33" s="10"/>
    </row>
    <row r="34" spans="1:6" ht="31.5">
      <c r="A34" s="10"/>
      <c r="B34" s="206" t="s">
        <v>397</v>
      </c>
      <c r="C34" s="329" t="s">
        <v>401</v>
      </c>
      <c r="D34" s="329" t="s">
        <v>402</v>
      </c>
      <c r="E34" s="10"/>
      <c r="F34" s="10"/>
    </row>
    <row r="35" spans="1:6" ht="47.25">
      <c r="A35" s="10"/>
      <c r="B35" s="206" t="s">
        <v>398</v>
      </c>
      <c r="C35" s="329" t="s">
        <v>403</v>
      </c>
      <c r="D35" s="329" t="s">
        <v>403</v>
      </c>
      <c r="E35" s="10"/>
      <c r="F35" s="10"/>
    </row>
    <row r="36" spans="1:6" ht="31.5">
      <c r="A36" s="10"/>
      <c r="B36" s="206" t="s">
        <v>231</v>
      </c>
      <c r="C36" s="339" t="s">
        <v>404</v>
      </c>
      <c r="D36" s="339" t="s">
        <v>405</v>
      </c>
      <c r="E36" s="10"/>
      <c r="F36" s="10"/>
    </row>
    <row r="37" spans="1:6" ht="15.75">
      <c r="A37" s="318">
        <v>4</v>
      </c>
      <c r="B37" s="222" t="s">
        <v>659</v>
      </c>
      <c r="C37" s="341"/>
      <c r="D37" s="341"/>
      <c r="E37" s="337"/>
      <c r="F37" s="337"/>
    </row>
    <row r="38" spans="1:6" ht="15.75">
      <c r="A38" s="10"/>
      <c r="B38" s="331" t="s">
        <v>206</v>
      </c>
      <c r="C38" s="340" t="s">
        <v>399</v>
      </c>
      <c r="D38" s="340" t="s">
        <v>400</v>
      </c>
      <c r="E38" s="10"/>
      <c r="F38" s="10"/>
    </row>
    <row r="39" spans="1:6" ht="15.75">
      <c r="A39" s="10"/>
      <c r="B39" s="332" t="s">
        <v>200</v>
      </c>
      <c r="C39" s="340" t="s">
        <v>400</v>
      </c>
      <c r="D39" s="340" t="s">
        <v>411</v>
      </c>
      <c r="E39" s="10"/>
      <c r="F39" s="10"/>
    </row>
    <row r="40" spans="1:6" ht="31.5">
      <c r="A40" s="10"/>
      <c r="B40" s="332" t="s">
        <v>409</v>
      </c>
      <c r="C40" s="340" t="s">
        <v>410</v>
      </c>
      <c r="D40" s="340" t="s">
        <v>407</v>
      </c>
      <c r="E40" s="10"/>
      <c r="F40" s="10"/>
    </row>
    <row r="41" spans="1:6" ht="15.75">
      <c r="A41" s="10"/>
      <c r="B41" s="332" t="s">
        <v>205</v>
      </c>
      <c r="C41" s="340" t="s">
        <v>404</v>
      </c>
      <c r="D41" s="340" t="s">
        <v>412</v>
      </c>
      <c r="E41" s="10"/>
      <c r="F41" s="10"/>
    </row>
    <row r="42" spans="1:6" ht="31.5">
      <c r="A42" s="318">
        <v>5</v>
      </c>
      <c r="B42" s="338" t="s">
        <v>413</v>
      </c>
      <c r="C42" s="341" t="s">
        <v>410</v>
      </c>
      <c r="D42" s="341" t="s">
        <v>412</v>
      </c>
      <c r="E42" s="337"/>
      <c r="F42" s="337"/>
    </row>
    <row r="43" spans="1:6" ht="31.5">
      <c r="A43" s="318">
        <v>6</v>
      </c>
      <c r="B43" s="338" t="s">
        <v>565</v>
      </c>
      <c r="C43" s="341"/>
      <c r="D43" s="341"/>
      <c r="E43" s="337"/>
      <c r="F43" s="337"/>
    </row>
    <row r="44" spans="1:6" ht="15.75">
      <c r="A44" s="10"/>
      <c r="B44" s="213" t="s">
        <v>414</v>
      </c>
      <c r="C44" s="340" t="s">
        <v>399</v>
      </c>
      <c r="D44" s="340" t="s">
        <v>400</v>
      </c>
      <c r="E44" s="10"/>
      <c r="F44" s="10"/>
    </row>
    <row r="45" spans="1:6" ht="15.75">
      <c r="A45" s="10"/>
      <c r="B45" s="213" t="s">
        <v>213</v>
      </c>
      <c r="C45" s="340" t="s">
        <v>400</v>
      </c>
      <c r="D45" s="340" t="s">
        <v>404</v>
      </c>
      <c r="E45" s="10"/>
      <c r="F45" s="10"/>
    </row>
    <row r="46" spans="1:6" ht="15.75">
      <c r="A46" s="10"/>
      <c r="B46" s="213" t="s">
        <v>415</v>
      </c>
      <c r="C46" s="340" t="s">
        <v>404</v>
      </c>
      <c r="D46" s="340" t="s">
        <v>412</v>
      </c>
      <c r="E46" s="10"/>
      <c r="F46" s="10"/>
    </row>
    <row r="49" spans="2:8" ht="15.75">
      <c r="B49" s="899"/>
      <c r="C49" s="899"/>
      <c r="D49" s="899"/>
      <c r="E49" s="899"/>
      <c r="F49" s="899"/>
      <c r="G49" s="899"/>
      <c r="H49" s="576"/>
    </row>
    <row r="50" spans="2:8" ht="15.75">
      <c r="B50" s="568"/>
      <c r="C50" s="568"/>
      <c r="D50" s="568"/>
      <c r="E50" s="568"/>
      <c r="F50" s="586"/>
      <c r="G50" s="568"/>
      <c r="H50" s="576"/>
    </row>
    <row r="51" spans="2:8" ht="15.75">
      <c r="B51" s="568"/>
      <c r="C51" s="568"/>
      <c r="D51" s="568"/>
      <c r="E51" s="568"/>
      <c r="F51" s="586"/>
      <c r="G51" s="568"/>
      <c r="H51" s="576"/>
    </row>
    <row r="52" spans="2:8" ht="15.75">
      <c r="B52" s="568"/>
      <c r="C52" s="568"/>
      <c r="D52" s="568"/>
      <c r="E52" s="568"/>
      <c r="F52" s="586"/>
      <c r="G52" s="568"/>
      <c r="H52" s="576"/>
    </row>
    <row r="53" spans="2:8" ht="15.75">
      <c r="B53" s="899"/>
      <c r="C53" s="899"/>
      <c r="D53" s="899"/>
      <c r="E53" s="899"/>
      <c r="F53" s="586"/>
      <c r="G53" s="566"/>
      <c r="H53" s="576"/>
    </row>
    <row r="54" spans="2:8" ht="15.75">
      <c r="B54" s="572"/>
      <c r="C54" s="572"/>
      <c r="D54" s="572"/>
      <c r="E54" s="572"/>
      <c r="F54" s="572"/>
      <c r="G54" s="572"/>
      <c r="H54" s="576"/>
    </row>
    <row r="55" spans="2:8" ht="15.75">
      <c r="B55" s="899"/>
      <c r="C55" s="899"/>
      <c r="D55" s="899"/>
      <c r="E55" s="899"/>
      <c r="F55" s="586"/>
      <c r="G55" s="566"/>
      <c r="H55" s="576"/>
    </row>
    <row r="56" spans="2:7" ht="15.75">
      <c r="B56" s="35"/>
      <c r="C56" s="35"/>
      <c r="D56" s="35"/>
      <c r="E56" s="35"/>
      <c r="F56" s="35"/>
      <c r="G56" s="35"/>
    </row>
  </sheetData>
  <sheetProtection/>
  <protectedRanges>
    <protectedRange sqref="B25" name="Диапазон1_91_5_1_3"/>
  </protectedRanges>
  <mergeCells count="14">
    <mergeCell ref="A6:F6"/>
    <mergeCell ref="C15:D16"/>
    <mergeCell ref="A15:A17"/>
    <mergeCell ref="B15:B17"/>
    <mergeCell ref="E15:E17"/>
    <mergeCell ref="F15:F17"/>
    <mergeCell ref="B9:C9"/>
    <mergeCell ref="B55:C55"/>
    <mergeCell ref="D55:E55"/>
    <mergeCell ref="B49:C49"/>
    <mergeCell ref="D49:E49"/>
    <mergeCell ref="F49:G49"/>
    <mergeCell ref="B53:C53"/>
    <mergeCell ref="D53:E53"/>
  </mergeCells>
  <printOptions/>
  <pageMargins left="0.7874015748031497" right="0" top="0.35433070866141736" bottom="0.15748031496062992" header="0" footer="0"/>
  <pageSetup fitToHeight="2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P41"/>
  <sheetViews>
    <sheetView zoomScalePageLayoutView="0" workbookViewId="0" topLeftCell="A25">
      <selection activeCell="A8" sqref="A8:C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1" ht="15.75">
      <c r="C1" s="4" t="s">
        <v>497</v>
      </c>
    </row>
    <row r="2" ht="15.75">
      <c r="C2" s="4" t="s">
        <v>292</v>
      </c>
    </row>
    <row r="3" ht="15.75">
      <c r="C3" s="4" t="s">
        <v>70</v>
      </c>
    </row>
    <row r="4" ht="15.75">
      <c r="C4" s="4"/>
    </row>
    <row r="5" spans="1:16" ht="42.75" customHeight="1">
      <c r="A5" s="975" t="s">
        <v>543</v>
      </c>
      <c r="B5" s="975"/>
      <c r="C5" s="9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5.75">
      <c r="C6" s="4"/>
    </row>
    <row r="7" spans="1:5" ht="15.75">
      <c r="A7" s="511" t="s">
        <v>154</v>
      </c>
      <c r="B7" s="512"/>
      <c r="C7" s="258" t="s">
        <v>293</v>
      </c>
      <c r="D7" s="258"/>
      <c r="E7" s="4"/>
    </row>
    <row r="8" spans="1:5" ht="15.75">
      <c r="A8" s="511" t="s">
        <v>155</v>
      </c>
      <c r="B8" s="511"/>
      <c r="C8" s="593" t="s">
        <v>568</v>
      </c>
      <c r="D8" s="258"/>
      <c r="E8" s="4"/>
    </row>
    <row r="9" spans="1:5" ht="15.75">
      <c r="A9" s="511" t="s">
        <v>156</v>
      </c>
      <c r="B9" s="512"/>
      <c r="C9" s="258" t="s">
        <v>569</v>
      </c>
      <c r="D9" s="258"/>
      <c r="E9" s="4"/>
    </row>
    <row r="10" spans="1:4" ht="15.75">
      <c r="A10" s="511" t="s">
        <v>44</v>
      </c>
      <c r="B10" s="512"/>
      <c r="D10" s="315"/>
    </row>
    <row r="11" spans="1:3" ht="15.75">
      <c r="A11" s="511" t="s">
        <v>45</v>
      </c>
      <c r="B11" s="512"/>
      <c r="C11" s="316" t="s">
        <v>167</v>
      </c>
    </row>
    <row r="12" spans="1:4" ht="20.25" customHeight="1">
      <c r="A12" s="511" t="s">
        <v>46</v>
      </c>
      <c r="B12" s="512"/>
      <c r="C12" s="307" t="s">
        <v>69</v>
      </c>
      <c r="D12" s="258"/>
    </row>
    <row r="13" spans="1:2" ht="15.75">
      <c r="A13" s="513"/>
      <c r="B13" s="451"/>
    </row>
    <row r="14" ht="15.75">
      <c r="A14" s="18" t="s">
        <v>449</v>
      </c>
    </row>
    <row r="15" ht="16.5" thickBot="1"/>
    <row r="16" spans="1:3" ht="16.5" thickBot="1">
      <c r="A16" s="108" t="s">
        <v>609</v>
      </c>
      <c r="B16" s="109" t="s">
        <v>196</v>
      </c>
      <c r="C16" s="110" t="s">
        <v>197</v>
      </c>
    </row>
    <row r="17" spans="1:3" ht="15.75">
      <c r="A17" s="104">
        <v>2</v>
      </c>
      <c r="B17" s="114" t="s">
        <v>200</v>
      </c>
      <c r="C17" s="115"/>
    </row>
    <row r="18" spans="1:3" ht="31.5">
      <c r="A18" s="104" t="s">
        <v>615</v>
      </c>
      <c r="B18" s="105" t="s">
        <v>450</v>
      </c>
      <c r="C18" s="30" t="s">
        <v>199</v>
      </c>
    </row>
    <row r="19" spans="1:3" ht="31.5">
      <c r="A19" s="104" t="s">
        <v>616</v>
      </c>
      <c r="B19" s="105" t="s">
        <v>451</v>
      </c>
      <c r="C19" s="30" t="s">
        <v>199</v>
      </c>
    </row>
    <row r="20" spans="1:3" ht="15.75">
      <c r="A20" s="104" t="s">
        <v>617</v>
      </c>
      <c r="B20" s="105" t="s">
        <v>216</v>
      </c>
      <c r="C20" s="30" t="s">
        <v>199</v>
      </c>
    </row>
    <row r="21" spans="1:3" ht="15.75">
      <c r="A21" s="104">
        <v>3</v>
      </c>
      <c r="B21" s="114" t="s">
        <v>452</v>
      </c>
      <c r="C21" s="115"/>
    </row>
    <row r="22" spans="1:3" ht="30.75" customHeight="1">
      <c r="A22" s="104" t="s">
        <v>201</v>
      </c>
      <c r="B22" s="105" t="s">
        <v>453</v>
      </c>
      <c r="C22" s="30" t="s">
        <v>198</v>
      </c>
    </row>
    <row r="23" spans="1:3" ht="15.75">
      <c r="A23" s="104" t="s">
        <v>202</v>
      </c>
      <c r="B23" s="105" t="s">
        <v>454</v>
      </c>
      <c r="C23" s="30" t="s">
        <v>199</v>
      </c>
    </row>
    <row r="24" spans="1:3" ht="15.75">
      <c r="A24" s="104" t="s">
        <v>203</v>
      </c>
      <c r="B24" s="105" t="s">
        <v>455</v>
      </c>
      <c r="C24" s="30" t="s">
        <v>198</v>
      </c>
    </row>
    <row r="25" spans="1:3" ht="15.75">
      <c r="A25" s="104" t="s">
        <v>221</v>
      </c>
      <c r="B25" s="105" t="s">
        <v>222</v>
      </c>
      <c r="C25" s="30" t="s">
        <v>198</v>
      </c>
    </row>
    <row r="26" spans="1:3" ht="15.75">
      <c r="A26" s="104" t="s">
        <v>223</v>
      </c>
      <c r="B26" s="105" t="s">
        <v>456</v>
      </c>
      <c r="C26" s="30" t="s">
        <v>199</v>
      </c>
    </row>
    <row r="27" spans="1:3" ht="15.75">
      <c r="A27" s="104">
        <v>4</v>
      </c>
      <c r="B27" s="114" t="s">
        <v>205</v>
      </c>
      <c r="C27" s="115"/>
    </row>
    <row r="28" spans="1:3" ht="15.75">
      <c r="A28" s="104" t="s">
        <v>619</v>
      </c>
      <c r="B28" s="105" t="s">
        <v>225</v>
      </c>
      <c r="C28" s="30" t="s">
        <v>198</v>
      </c>
    </row>
    <row r="29" spans="1:3" ht="31.5">
      <c r="A29" s="104" t="s">
        <v>620</v>
      </c>
      <c r="B29" s="105" t="s">
        <v>226</v>
      </c>
      <c r="C29" s="30" t="s">
        <v>199</v>
      </c>
    </row>
    <row r="30" spans="1:3" ht="16.5" thickBot="1">
      <c r="A30" s="106" t="s">
        <v>621</v>
      </c>
      <c r="B30" s="107" t="s">
        <v>227</v>
      </c>
      <c r="C30" s="32" t="s">
        <v>199</v>
      </c>
    </row>
    <row r="31" spans="1:3" ht="16.5" thickBot="1">
      <c r="A31" s="106" t="s">
        <v>91</v>
      </c>
      <c r="B31" s="107" t="s">
        <v>457</v>
      </c>
      <c r="C31" s="32" t="s">
        <v>199</v>
      </c>
    </row>
    <row r="34" spans="1:7" ht="15.75">
      <c r="A34" s="899"/>
      <c r="B34" s="899"/>
      <c r="C34" s="899"/>
      <c r="D34" s="899"/>
      <c r="E34" s="899"/>
      <c r="F34" s="899"/>
      <c r="G34" s="576"/>
    </row>
    <row r="35" spans="1:7" ht="15.75">
      <c r="A35" s="567"/>
      <c r="B35" s="567"/>
      <c r="C35" s="568"/>
      <c r="D35" s="568"/>
      <c r="E35" s="586"/>
      <c r="F35" s="567"/>
      <c r="G35" s="576"/>
    </row>
    <row r="36" spans="1:7" ht="15.75">
      <c r="A36" s="567"/>
      <c r="B36" s="567"/>
      <c r="C36" s="568"/>
      <c r="D36" s="568"/>
      <c r="E36" s="586"/>
      <c r="F36" s="567"/>
      <c r="G36" s="576"/>
    </row>
    <row r="37" spans="1:7" ht="15.75">
      <c r="A37" s="567"/>
      <c r="B37" s="567"/>
      <c r="C37" s="568"/>
      <c r="D37" s="568"/>
      <c r="E37" s="586"/>
      <c r="F37" s="567"/>
      <c r="G37" s="576"/>
    </row>
    <row r="38" spans="1:7" ht="15.75">
      <c r="A38" s="899"/>
      <c r="B38" s="899"/>
      <c r="C38" s="899"/>
      <c r="D38" s="899"/>
      <c r="E38" s="586"/>
      <c r="F38" s="566"/>
      <c r="G38" s="576"/>
    </row>
    <row r="39" spans="1:7" ht="15.75">
      <c r="A39" s="571"/>
      <c r="B39" s="571"/>
      <c r="C39" s="572"/>
      <c r="D39" s="572"/>
      <c r="E39" s="572"/>
      <c r="F39" s="571"/>
      <c r="G39" s="576"/>
    </row>
    <row r="40" spans="1:7" ht="15.75">
      <c r="A40" s="899"/>
      <c r="B40" s="899"/>
      <c r="C40" s="899"/>
      <c r="D40" s="899"/>
      <c r="E40" s="586"/>
      <c r="F40" s="566"/>
      <c r="G40" s="576"/>
    </row>
    <row r="41" spans="3:5" ht="15.75">
      <c r="C41" s="13"/>
      <c r="D41" s="13"/>
      <c r="E41" s="13"/>
    </row>
  </sheetData>
  <sheetProtection/>
  <mergeCells count="8">
    <mergeCell ref="A40:B40"/>
    <mergeCell ref="C40:D40"/>
    <mergeCell ref="A5:C5"/>
    <mergeCell ref="A34:B34"/>
    <mergeCell ref="C34:D34"/>
    <mergeCell ref="E34:F34"/>
    <mergeCell ref="A38:B38"/>
    <mergeCell ref="C38:D3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Побута Анна Сергеевна</cp:lastModifiedBy>
  <cp:lastPrinted>2015-02-09T13:32:45Z</cp:lastPrinted>
  <dcterms:created xsi:type="dcterms:W3CDTF">2009-07-27T10:10:26Z</dcterms:created>
  <dcterms:modified xsi:type="dcterms:W3CDTF">2015-03-05T11:38:29Z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DZQQNTZWJNVN-2-1393</vt:lpwstr>
  </property>
  <property fmtid="{D5CDD505-2E9C-101B-9397-08002B2CF9AE}" pid="4" name="_dlc_DocIdItemGu">
    <vt:lpwstr>8fb675ae-6022-433f-91eb-ecbd8e878bda</vt:lpwstr>
  </property>
  <property fmtid="{D5CDD505-2E9C-101B-9397-08002B2CF9AE}" pid="5" name="_dlc_DocIdU">
    <vt:lpwstr>http://info.kom-tech.ru:8090/_layouts/DocIdRedir.aspx?ID=DZQQNTZWJNVN-2-1393, DZQQNTZWJNVN-2-1393</vt:lpwstr>
  </property>
  <property fmtid="{D5CDD505-2E9C-101B-9397-08002B2CF9AE}" pid="6" name="u">
    <vt:lpwstr/>
  </property>
</Properties>
</file>